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deelywoods/www/etoyoc/sites/sublight/content/bab95c29-2834-4389-8ca2-2c8298a89909/"/>
    </mc:Choice>
  </mc:AlternateContent>
  <xr:revisionPtr revIDLastSave="0" documentId="13_ncr:1_{3DD87D81-8AE8-A043-B86B-D777193333B6}" xr6:coauthVersionLast="36" xr6:coauthVersionMax="36" xr10:uidLastSave="{00000000-0000-0000-0000-000000000000}"/>
  <bookViews>
    <workbookView xWindow="0" yWindow="460" windowWidth="28800" windowHeight="16660" activeTab="4" xr2:uid="{2A010409-9824-F840-AAED-35081E418E98}"/>
  </bookViews>
  <sheets>
    <sheet name="Vehicle" sheetId="1" r:id="rId1"/>
    <sheet name="Performance" sheetId="36" r:id="rId2"/>
    <sheet name="Structure" sheetId="33" r:id="rId3"/>
    <sheet name="Habitat" sheetId="18" r:id="rId4"/>
    <sheet name="Design Studies" sheetId="37" r:id="rId5"/>
    <sheet name="Gravity" sheetId="19" r:id="rId6"/>
    <sheet name="Conversion" sheetId="27" r:id="rId7"/>
    <sheet name="Sheet2" sheetId="17" r:id="rId8"/>
    <sheet name="Power Consumption" sheetId="13" r:id="rId9"/>
    <sheet name="Vocations" sheetId="24" r:id="rId10"/>
    <sheet name="Billet" sheetId="29" r:id="rId11"/>
    <sheet name="Agriculture" sheetId="9" r:id="rId12"/>
    <sheet name="Crops" sheetId="21" r:id="rId13"/>
    <sheet name="Diet" sheetId="20" r:id="rId14"/>
    <sheet name="Aquaculture" sheetId="14" r:id="rId15"/>
    <sheet name="Cattle" sheetId="8" r:id="rId16"/>
    <sheet name="Protein" sheetId="15" r:id="rId17"/>
  </sheets>
  <definedNames>
    <definedName name="_xlnm._FilterDatabase" localSheetId="9" hidden="1">Vocations!$A:$A</definedName>
    <definedName name="_xlnm.Criteria" localSheetId="9">Vocations!$A:$A</definedName>
    <definedName name="_xlnm.Extract" localSheetId="9">Vocations!$B$16</definedName>
    <definedName name="_xlnm.Print_Area" localSheetId="9">Vocations!$A$1:$G$44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37" l="1"/>
  <c r="L12" i="37"/>
  <c r="K12" i="37"/>
  <c r="E5" i="18"/>
  <c r="E71" i="18"/>
  <c r="E70" i="18" s="1"/>
  <c r="D9" i="1"/>
  <c r="E48" i="18"/>
  <c r="C20" i="18"/>
  <c r="B9" i="33"/>
  <c r="B1" i="1"/>
  <c r="F9" i="1"/>
  <c r="A14" i="19"/>
  <c r="A15" i="19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F6" i="18" l="1"/>
  <c r="B7" i="33"/>
  <c r="E58" i="18"/>
  <c r="E57" i="18"/>
  <c r="B6" i="1"/>
  <c r="K4" i="18"/>
  <c r="J4" i="18" s="1"/>
  <c r="K3" i="18" l="1"/>
  <c r="J3" i="18" s="1"/>
  <c r="I17" i="18" s="1"/>
  <c r="C9" i="19" l="1"/>
  <c r="B31" i="33" l="1"/>
  <c r="F16" i="1" l="1"/>
  <c r="H16" i="1"/>
  <c r="C49" i="27"/>
  <c r="B48" i="27"/>
  <c r="D20" i="1" l="1"/>
  <c r="C8" i="36" l="1"/>
  <c r="B39" i="33"/>
  <c r="E50" i="18"/>
  <c r="C5" i="19" s="1"/>
  <c r="B50" i="33"/>
  <c r="B42" i="33"/>
  <c r="B41" i="33"/>
  <c r="B52" i="33"/>
  <c r="B51" i="33"/>
  <c r="E50" i="36"/>
  <c r="D50" i="36"/>
  <c r="E47" i="36"/>
  <c r="E48" i="36"/>
  <c r="D48" i="36"/>
  <c r="D47" i="36"/>
  <c r="C62" i="36"/>
  <c r="C64" i="36" s="1"/>
  <c r="E49" i="36"/>
  <c r="D49" i="36"/>
  <c r="E39" i="36"/>
  <c r="G8" i="36"/>
  <c r="B14" i="1"/>
  <c r="D16" i="1"/>
  <c r="D14" i="1"/>
  <c r="B11" i="1" l="1"/>
  <c r="B10" i="1" s="1"/>
  <c r="C5" i="36" s="1"/>
  <c r="C4" i="36" s="1"/>
  <c r="E17" i="18"/>
  <c r="E16" i="18"/>
  <c r="B23" i="1"/>
  <c r="F48" i="36"/>
  <c r="G48" i="36" s="1"/>
  <c r="F49" i="36"/>
  <c r="G49" i="36" s="1"/>
  <c r="C13" i="36" s="1"/>
  <c r="F47" i="36"/>
  <c r="G47" i="36" s="1"/>
  <c r="F50" i="36"/>
  <c r="G50" i="36" s="1"/>
  <c r="D65" i="36"/>
  <c r="D66" i="36"/>
  <c r="C6" i="36" l="1"/>
  <c r="B34" i="33"/>
  <c r="B53" i="33"/>
  <c r="C7" i="36" l="1"/>
  <c r="C16" i="36"/>
  <c r="E16" i="36" s="1"/>
  <c r="C9" i="36"/>
  <c r="E8" i="36"/>
  <c r="G16" i="36" l="1"/>
  <c r="C14" i="36"/>
  <c r="C11" i="36" s="1"/>
  <c r="G4" i="36"/>
  <c r="C15" i="36" l="1"/>
  <c r="G30" i="36"/>
  <c r="E30" i="36" s="1"/>
  <c r="E7" i="36"/>
  <c r="C30" i="36"/>
  <c r="B46" i="33" l="1"/>
  <c r="B44" i="33"/>
  <c r="B54" i="33" s="1"/>
  <c r="C49" i="33" s="1"/>
  <c r="B2" i="33"/>
  <c r="B3" i="33" s="1"/>
  <c r="B25" i="33" l="1"/>
  <c r="C22" i="36"/>
  <c r="B18" i="33" s="1"/>
  <c r="B47" i="33"/>
  <c r="B15" i="33" l="1"/>
  <c r="O42" i="18" l="1"/>
  <c r="N42" i="18"/>
  <c r="C4" i="13" l="1"/>
  <c r="I28" i="18"/>
  <c r="O25" i="18"/>
  <c r="O26" i="18" s="1"/>
  <c r="L23" i="18"/>
  <c r="I20" i="18"/>
  <c r="I18" i="18"/>
  <c r="I14" i="18"/>
  <c r="D4" i="1"/>
  <c r="D36" i="8"/>
  <c r="B1" i="15"/>
  <c r="D2" i="9"/>
  <c r="D19" i="1" l="1"/>
  <c r="AA126" i="21" l="1"/>
  <c r="Z126" i="21"/>
  <c r="AA116" i="21"/>
  <c r="AA117" i="21"/>
  <c r="AA118" i="21"/>
  <c r="AA119" i="21"/>
  <c r="AA103" i="21"/>
  <c r="AA105" i="21"/>
  <c r="AA106" i="21"/>
  <c r="AA107" i="21"/>
  <c r="AA108" i="21"/>
  <c r="AA109" i="21"/>
  <c r="AA110" i="21"/>
  <c r="AA111" i="21"/>
  <c r="AA112" i="21"/>
  <c r="AA90" i="21"/>
  <c r="AA91" i="21"/>
  <c r="AA92" i="21"/>
  <c r="AA93" i="21"/>
  <c r="AA94" i="21"/>
  <c r="AA95" i="21"/>
  <c r="AA96" i="21"/>
  <c r="AA97" i="21"/>
  <c r="AA98" i="21"/>
  <c r="AA89" i="21"/>
  <c r="AA85" i="21"/>
  <c r="AA86" i="21"/>
  <c r="AA84" i="21"/>
  <c r="AA47" i="21"/>
  <c r="AA48" i="21"/>
  <c r="AA49" i="21"/>
  <c r="AA50" i="21"/>
  <c r="AA51" i="21"/>
  <c r="AA52" i="21"/>
  <c r="AA53" i="21"/>
  <c r="AA54" i="21"/>
  <c r="AA55" i="21"/>
  <c r="AA56" i="21"/>
  <c r="AA57" i="21"/>
  <c r="AA58" i="21"/>
  <c r="AA59" i="21"/>
  <c r="AA60" i="21"/>
  <c r="AA61" i="21"/>
  <c r="AA62" i="21"/>
  <c r="AA63" i="21"/>
  <c r="AA64" i="21"/>
  <c r="AA65" i="21"/>
  <c r="AA66" i="21"/>
  <c r="AA67" i="21"/>
  <c r="AA68" i="21"/>
  <c r="AA69" i="21"/>
  <c r="AA70" i="21"/>
  <c r="AA71" i="21"/>
  <c r="AA72" i="21"/>
  <c r="AA73" i="21"/>
  <c r="AA74" i="21"/>
  <c r="AA75" i="21"/>
  <c r="AA76" i="21"/>
  <c r="AA77" i="21"/>
  <c r="AA78" i="21"/>
  <c r="AA79" i="21"/>
  <c r="AA80" i="21"/>
  <c r="AA81" i="21"/>
  <c r="AA46" i="21"/>
  <c r="AA22" i="21"/>
  <c r="AA23" i="21"/>
  <c r="AA24" i="21"/>
  <c r="AA25" i="21"/>
  <c r="AA26" i="21"/>
  <c r="AA27" i="21"/>
  <c r="AA29" i="21"/>
  <c r="AA30" i="21"/>
  <c r="AA32" i="21"/>
  <c r="AA33" i="21"/>
  <c r="AA34" i="21"/>
  <c r="AA35" i="21"/>
  <c r="AA36" i="21"/>
  <c r="AA37" i="21"/>
  <c r="AA38" i="21"/>
  <c r="AA40" i="21"/>
  <c r="AA41" i="21"/>
  <c r="AA42" i="21"/>
  <c r="AA43" i="21"/>
  <c r="AA21" i="21"/>
  <c r="AA18" i="21"/>
  <c r="AA17" i="21"/>
  <c r="AA5" i="21"/>
  <c r="AA6" i="21"/>
  <c r="AA7" i="21"/>
  <c r="AA8" i="21"/>
  <c r="Z9" i="21"/>
  <c r="AA10" i="21"/>
  <c r="AA11" i="21"/>
  <c r="AA12" i="21"/>
  <c r="AD13" i="21"/>
  <c r="AD15" i="21"/>
  <c r="AD16" i="21"/>
  <c r="AD19" i="21"/>
  <c r="AD20" i="21"/>
  <c r="AD44" i="21"/>
  <c r="AD45" i="21"/>
  <c r="AD82" i="21"/>
  <c r="AD83" i="21"/>
  <c r="AD87" i="21"/>
  <c r="AD88" i="21"/>
  <c r="AD99" i="21"/>
  <c r="AD100" i="21"/>
  <c r="AD113" i="21"/>
  <c r="AD114" i="21"/>
  <c r="B24" i="1"/>
  <c r="C8" i="13"/>
  <c r="H33" i="13" l="1"/>
  <c r="E6" i="27" l="1"/>
  <c r="K126" i="21" l="1"/>
  <c r="C11" i="13"/>
  <c r="B80" i="18" l="1"/>
  <c r="AE4" i="21" l="1"/>
  <c r="K14" i="21"/>
  <c r="AG82" i="21"/>
  <c r="AG83" i="21"/>
  <c r="AG84" i="21"/>
  <c r="AG85" i="21"/>
  <c r="AG86" i="21"/>
  <c r="AG87" i="21"/>
  <c r="AG8" i="21"/>
  <c r="AG9" i="21"/>
  <c r="AG11" i="21"/>
  <c r="AG12" i="21"/>
  <c r="AG13" i="21"/>
  <c r="AG14" i="21"/>
  <c r="AG15" i="21"/>
  <c r="AG16" i="21"/>
  <c r="AG17" i="21"/>
  <c r="AG18" i="21"/>
  <c r="AG19" i="21"/>
  <c r="AG20" i="21"/>
  <c r="AG21" i="21"/>
  <c r="AG23" i="21"/>
  <c r="AG24" i="21"/>
  <c r="AG25" i="21"/>
  <c r="AG26" i="21"/>
  <c r="AG27" i="21"/>
  <c r="AG28" i="21"/>
  <c r="AG29" i="21"/>
  <c r="AG30" i="21"/>
  <c r="AG31" i="21"/>
  <c r="AG32" i="21"/>
  <c r="AG33" i="21"/>
  <c r="AG36" i="21"/>
  <c r="AG37" i="21"/>
  <c r="AG38" i="21"/>
  <c r="AG39" i="21"/>
  <c r="AG40" i="21"/>
  <c r="AG41" i="21"/>
  <c r="AG42" i="21"/>
  <c r="AG44" i="21"/>
  <c r="AG45" i="21"/>
  <c r="AG48" i="21"/>
  <c r="AG49" i="21"/>
  <c r="AG50" i="21"/>
  <c r="AG51" i="21"/>
  <c r="AG52" i="21"/>
  <c r="AG53" i="21"/>
  <c r="AG54" i="21"/>
  <c r="AG55" i="21"/>
  <c r="AG57" i="21"/>
  <c r="AG58" i="21"/>
  <c r="AG59" i="21"/>
  <c r="AG60" i="21"/>
  <c r="AG61" i="21"/>
  <c r="AG62" i="21"/>
  <c r="AG64" i="21"/>
  <c r="AG67" i="21"/>
  <c r="AG69" i="21"/>
  <c r="AG70" i="21"/>
  <c r="AG73" i="21"/>
  <c r="AG76" i="21"/>
  <c r="AG77" i="21"/>
  <c r="AG78" i="21"/>
  <c r="AG79" i="21"/>
  <c r="AG80" i="21"/>
  <c r="AG81" i="21"/>
  <c r="D38" i="24" l="1"/>
  <c r="D1" i="24" l="1"/>
  <c r="D16" i="24" s="1"/>
  <c r="L42" i="18" l="1"/>
  <c r="M42" i="18"/>
  <c r="K42" i="18"/>
  <c r="C40" i="13" l="1"/>
  <c r="AE9" i="21" l="1"/>
  <c r="D12" i="8"/>
  <c r="AE126" i="21"/>
  <c r="X126" i="21"/>
  <c r="D11" i="8"/>
  <c r="D10" i="8"/>
  <c r="D5" i="9"/>
  <c r="X10" i="21"/>
  <c r="AE10" i="21"/>
  <c r="D4" i="27"/>
  <c r="D3" i="27"/>
  <c r="C38" i="27"/>
  <c r="B38" i="27"/>
  <c r="B37" i="27"/>
  <c r="C24" i="18"/>
  <c r="D30" i="18" s="1"/>
  <c r="D25" i="18"/>
  <c r="D26" i="18"/>
  <c r="B3" i="27"/>
  <c r="AD126" i="21" l="1"/>
  <c r="AF126" i="21" s="1"/>
  <c r="AB126" i="21"/>
  <c r="C1" i="13"/>
  <c r="C9" i="13"/>
  <c r="C37" i="27"/>
  <c r="B4" i="27"/>
  <c r="C3" i="27"/>
  <c r="C4" i="27" s="1"/>
  <c r="B40" i="27"/>
  <c r="B34" i="27"/>
  <c r="B6" i="24"/>
  <c r="B7" i="24" s="1"/>
  <c r="B24" i="24"/>
  <c r="B26" i="24"/>
  <c r="D29" i="18"/>
  <c r="AF15" i="21"/>
  <c r="AF16" i="21"/>
  <c r="AF19" i="21"/>
  <c r="AF20" i="21"/>
  <c r="AF82" i="21"/>
  <c r="B25" i="27"/>
  <c r="B24" i="27"/>
  <c r="B32" i="27"/>
  <c r="B9" i="27"/>
  <c r="C9" i="27"/>
  <c r="D19" i="27"/>
  <c r="C18" i="27"/>
  <c r="E17" i="27"/>
  <c r="D16" i="27"/>
  <c r="AE95" i="21"/>
  <c r="AE94" i="21"/>
  <c r="AE93" i="21"/>
  <c r="AE92" i="21"/>
  <c r="AE91" i="21"/>
  <c r="AE90" i="21"/>
  <c r="AE89" i="21"/>
  <c r="AE98" i="21"/>
  <c r="AE97" i="21"/>
  <c r="AE96" i="21"/>
  <c r="AE101" i="21"/>
  <c r="AE102" i="21"/>
  <c r="AE104" i="21"/>
  <c r="AE105" i="21"/>
  <c r="AE106" i="21"/>
  <c r="AE107" i="21"/>
  <c r="AE108" i="21"/>
  <c r="AE109" i="21"/>
  <c r="AE110" i="21"/>
  <c r="AE112" i="21"/>
  <c r="AE111" i="21"/>
  <c r="AE118" i="21"/>
  <c r="AE103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64" i="21"/>
  <c r="AE65" i="21"/>
  <c r="AE66" i="21"/>
  <c r="AE67" i="21"/>
  <c r="AE68" i="21"/>
  <c r="AE69" i="21"/>
  <c r="AE70" i="21"/>
  <c r="AE71" i="21"/>
  <c r="AE72" i="21"/>
  <c r="AE73" i="21"/>
  <c r="AE74" i="21"/>
  <c r="AE75" i="21"/>
  <c r="AE76" i="21"/>
  <c r="AE77" i="21"/>
  <c r="AE78" i="21"/>
  <c r="AE79" i="21"/>
  <c r="AE80" i="21"/>
  <c r="AE81" i="21"/>
  <c r="AE82" i="21"/>
  <c r="AE83" i="21"/>
  <c r="AF83" i="21" s="1"/>
  <c r="AE84" i="21"/>
  <c r="AE85" i="21"/>
  <c r="AE86" i="21"/>
  <c r="AE87" i="21"/>
  <c r="AE88" i="21"/>
  <c r="AE99" i="21"/>
  <c r="AE100" i="21"/>
  <c r="AE113" i="21"/>
  <c r="AE114" i="21"/>
  <c r="AE115" i="21"/>
  <c r="AE116" i="21"/>
  <c r="AE117" i="21"/>
  <c r="AE119" i="21"/>
  <c r="AE21" i="21"/>
  <c r="AE18" i="21"/>
  <c r="AE17" i="21"/>
  <c r="AE14" i="21"/>
  <c r="AE5" i="21"/>
  <c r="AE6" i="21"/>
  <c r="AE7" i="21"/>
  <c r="AE8" i="21"/>
  <c r="AE11" i="21"/>
  <c r="AE12" i="21"/>
  <c r="B44" i="24"/>
  <c r="B38" i="24" s="1"/>
  <c r="C38" i="24"/>
  <c r="B8" i="24"/>
  <c r="AF114" i="21" l="1"/>
  <c r="AF113" i="21"/>
  <c r="AF44" i="21"/>
  <c r="AF100" i="21"/>
  <c r="AF99" i="21"/>
  <c r="AF88" i="21"/>
  <c r="AF87" i="21"/>
  <c r="AF45" i="21"/>
  <c r="B19" i="24"/>
  <c r="C6" i="1"/>
  <c r="D44" i="27" s="1"/>
  <c r="F44" i="27" s="1"/>
  <c r="C114" i="21"/>
  <c r="C100" i="21"/>
  <c r="C88" i="21"/>
  <c r="C83" i="21"/>
  <c r="C45" i="21"/>
  <c r="C20" i="21"/>
  <c r="C16" i="21"/>
  <c r="C12" i="13" l="1"/>
  <c r="E11" i="18"/>
  <c r="E61" i="18" s="1"/>
  <c r="B13" i="33" s="1"/>
  <c r="C6" i="19"/>
  <c r="F9" i="21"/>
  <c r="B114" i="21"/>
  <c r="A114" i="21"/>
  <c r="B100" i="21"/>
  <c r="A100" i="21"/>
  <c r="B88" i="21"/>
  <c r="A88" i="21"/>
  <c r="B83" i="21"/>
  <c r="A83" i="21"/>
  <c r="B45" i="21"/>
  <c r="A45" i="21"/>
  <c r="A20" i="21"/>
  <c r="A16" i="21"/>
  <c r="F34" i="9"/>
  <c r="I126" i="21"/>
  <c r="X98" i="21"/>
  <c r="T98" i="21"/>
  <c r="K98" i="21"/>
  <c r="X97" i="21"/>
  <c r="T97" i="21"/>
  <c r="K97" i="21"/>
  <c r="X96" i="21"/>
  <c r="T96" i="21"/>
  <c r="K96" i="21"/>
  <c r="X119" i="21"/>
  <c r="T119" i="21"/>
  <c r="K119" i="21"/>
  <c r="X116" i="21"/>
  <c r="T116" i="21"/>
  <c r="K116" i="21"/>
  <c r="X92" i="21"/>
  <c r="T92" i="21"/>
  <c r="K92" i="21"/>
  <c r="X91" i="21"/>
  <c r="T91" i="21"/>
  <c r="K91" i="21"/>
  <c r="X90" i="21"/>
  <c r="T90" i="21"/>
  <c r="K90" i="21"/>
  <c r="X89" i="21"/>
  <c r="T89" i="21"/>
  <c r="K89" i="21"/>
  <c r="X35" i="21"/>
  <c r="T35" i="21"/>
  <c r="K35" i="21"/>
  <c r="X34" i="21"/>
  <c r="T34" i="21"/>
  <c r="K34" i="21"/>
  <c r="X33" i="21"/>
  <c r="T33" i="21"/>
  <c r="K33" i="21"/>
  <c r="X32" i="21"/>
  <c r="T32" i="21"/>
  <c r="K32" i="21"/>
  <c r="X26" i="21"/>
  <c r="T26" i="21"/>
  <c r="K26" i="21"/>
  <c r="X22" i="21"/>
  <c r="T22" i="21"/>
  <c r="K22" i="21"/>
  <c r="X112" i="21"/>
  <c r="T112" i="21"/>
  <c r="K112" i="21"/>
  <c r="X111" i="21"/>
  <c r="T111" i="21"/>
  <c r="K111" i="21"/>
  <c r="X110" i="21"/>
  <c r="T110" i="21"/>
  <c r="K110" i="21"/>
  <c r="X118" i="21"/>
  <c r="T118" i="21"/>
  <c r="K118" i="21"/>
  <c r="X107" i="21"/>
  <c r="T107" i="21"/>
  <c r="K107" i="21"/>
  <c r="X106" i="21"/>
  <c r="T106" i="21"/>
  <c r="K106" i="21"/>
  <c r="X84" i="21"/>
  <c r="T84" i="21"/>
  <c r="K84" i="21"/>
  <c r="X104" i="21"/>
  <c r="T104" i="21"/>
  <c r="L104" i="21"/>
  <c r="K104" i="21"/>
  <c r="X31" i="21"/>
  <c r="T31" i="21"/>
  <c r="L31" i="21"/>
  <c r="K31" i="21"/>
  <c r="X102" i="21"/>
  <c r="T102" i="21"/>
  <c r="L102" i="21"/>
  <c r="K102" i="21"/>
  <c r="X101" i="21"/>
  <c r="T101" i="21"/>
  <c r="L101" i="21"/>
  <c r="K101" i="21"/>
  <c r="X78" i="21"/>
  <c r="T78" i="21"/>
  <c r="K78" i="21"/>
  <c r="X77" i="21"/>
  <c r="T77" i="21"/>
  <c r="K77" i="21"/>
  <c r="X73" i="21"/>
  <c r="T73" i="21"/>
  <c r="K73" i="21"/>
  <c r="X95" i="21"/>
  <c r="T95" i="21"/>
  <c r="K95" i="21"/>
  <c r="X94" i="21"/>
  <c r="T94" i="21"/>
  <c r="K94" i="21"/>
  <c r="X70" i="21"/>
  <c r="T70" i="21"/>
  <c r="K70" i="21"/>
  <c r="X67" i="21"/>
  <c r="T67" i="21"/>
  <c r="K67" i="21"/>
  <c r="X103" i="21"/>
  <c r="T103" i="21"/>
  <c r="K103" i="21"/>
  <c r="X64" i="21"/>
  <c r="T64" i="21"/>
  <c r="K64" i="21"/>
  <c r="X93" i="21"/>
  <c r="T93" i="21"/>
  <c r="K93" i="21"/>
  <c r="X27" i="21"/>
  <c r="T27" i="21"/>
  <c r="K27" i="21"/>
  <c r="X57" i="21"/>
  <c r="T57" i="21"/>
  <c r="K57" i="21"/>
  <c r="X55" i="21"/>
  <c r="T55" i="21"/>
  <c r="K55" i="21"/>
  <c r="X54" i="21"/>
  <c r="T54" i="21"/>
  <c r="K54" i="21"/>
  <c r="X53" i="21"/>
  <c r="T53" i="21"/>
  <c r="K53" i="21"/>
  <c r="X23" i="21"/>
  <c r="T23" i="21"/>
  <c r="K23" i="21"/>
  <c r="X51" i="21"/>
  <c r="T51" i="21"/>
  <c r="K51" i="21"/>
  <c r="X50" i="21"/>
  <c r="T50" i="21"/>
  <c r="K50" i="21"/>
  <c r="X49" i="21"/>
  <c r="T49" i="21"/>
  <c r="K49" i="21"/>
  <c r="X48" i="21"/>
  <c r="T48" i="21"/>
  <c r="K48" i="21"/>
  <c r="X115" i="21"/>
  <c r="T115" i="21"/>
  <c r="L115" i="21"/>
  <c r="K115" i="21"/>
  <c r="X86" i="21"/>
  <c r="T86" i="21"/>
  <c r="K86" i="21"/>
  <c r="X81" i="21"/>
  <c r="T81" i="21"/>
  <c r="K81" i="21"/>
  <c r="X43" i="21"/>
  <c r="T43" i="21"/>
  <c r="K43" i="21"/>
  <c r="X80" i="21"/>
  <c r="T80" i="21"/>
  <c r="K80" i="21"/>
  <c r="X109" i="21"/>
  <c r="T109" i="21"/>
  <c r="K109" i="21"/>
  <c r="X85" i="21"/>
  <c r="T85" i="21"/>
  <c r="K85" i="21"/>
  <c r="X42" i="21"/>
  <c r="T42" i="21"/>
  <c r="K42" i="21"/>
  <c r="X18" i="21"/>
  <c r="T18" i="21"/>
  <c r="K18" i="21"/>
  <c r="X17" i="21"/>
  <c r="T17" i="21"/>
  <c r="K17" i="21"/>
  <c r="X79" i="21"/>
  <c r="T79" i="21"/>
  <c r="K79" i="21"/>
  <c r="X108" i="21"/>
  <c r="T108" i="21"/>
  <c r="K108" i="21"/>
  <c r="X41" i="21"/>
  <c r="T41" i="21"/>
  <c r="K41" i="21"/>
  <c r="X40" i="21"/>
  <c r="T40" i="21"/>
  <c r="K40" i="21"/>
  <c r="X117" i="21"/>
  <c r="T117" i="21"/>
  <c r="K117" i="21"/>
  <c r="X39" i="21"/>
  <c r="T39" i="21"/>
  <c r="L39" i="21"/>
  <c r="K39" i="21"/>
  <c r="X105" i="21"/>
  <c r="T105" i="21"/>
  <c r="K105" i="21"/>
  <c r="X38" i="21"/>
  <c r="T38" i="21"/>
  <c r="K38" i="21"/>
  <c r="X76" i="21"/>
  <c r="T76" i="21"/>
  <c r="K76" i="21"/>
  <c r="X75" i="21"/>
  <c r="T75" i="21"/>
  <c r="K75" i="21"/>
  <c r="X74" i="21"/>
  <c r="T74" i="21"/>
  <c r="K74" i="21"/>
  <c r="X37" i="21"/>
  <c r="T37" i="21"/>
  <c r="K37" i="21"/>
  <c r="X36" i="21"/>
  <c r="T36" i="21"/>
  <c r="K36" i="21"/>
  <c r="X72" i="21"/>
  <c r="T72" i="21"/>
  <c r="K72" i="21"/>
  <c r="X71" i="21"/>
  <c r="T71" i="21"/>
  <c r="K71" i="21"/>
  <c r="X69" i="21"/>
  <c r="T69" i="21"/>
  <c r="K69" i="21"/>
  <c r="X68" i="21"/>
  <c r="T68" i="21"/>
  <c r="X66" i="21"/>
  <c r="T66" i="21"/>
  <c r="K66" i="21"/>
  <c r="X65" i="21"/>
  <c r="T65" i="21"/>
  <c r="X63" i="21"/>
  <c r="T63" i="21"/>
  <c r="K63" i="21"/>
  <c r="X62" i="21"/>
  <c r="T62" i="21"/>
  <c r="K62" i="21"/>
  <c r="X30" i="21"/>
  <c r="T30" i="21"/>
  <c r="K30" i="21"/>
  <c r="X61" i="21"/>
  <c r="T61" i="21"/>
  <c r="K61" i="21"/>
  <c r="X60" i="21"/>
  <c r="T60" i="21"/>
  <c r="K60" i="21"/>
  <c r="X29" i="21"/>
  <c r="T29" i="21"/>
  <c r="K29" i="21"/>
  <c r="X28" i="21"/>
  <c r="T28" i="21"/>
  <c r="L28" i="21"/>
  <c r="C49" i="9" s="1"/>
  <c r="K28" i="21"/>
  <c r="X59" i="21"/>
  <c r="T59" i="21"/>
  <c r="K59" i="21"/>
  <c r="X58" i="21"/>
  <c r="T58" i="21"/>
  <c r="K58" i="21"/>
  <c r="X25" i="21"/>
  <c r="T25" i="21"/>
  <c r="K25" i="21"/>
  <c r="X24" i="21"/>
  <c r="T24" i="21"/>
  <c r="K24" i="21"/>
  <c r="X56" i="21"/>
  <c r="T56" i="21"/>
  <c r="K56" i="21"/>
  <c r="X52" i="21"/>
  <c r="T52" i="21"/>
  <c r="K52" i="21"/>
  <c r="X47" i="21"/>
  <c r="T47" i="21"/>
  <c r="K47" i="21"/>
  <c r="X46" i="21"/>
  <c r="T46" i="21"/>
  <c r="K46" i="21"/>
  <c r="X21" i="21"/>
  <c r="K21" i="21"/>
  <c r="X14" i="21"/>
  <c r="T14" i="21"/>
  <c r="X12" i="21"/>
  <c r="T12" i="21"/>
  <c r="K12" i="21"/>
  <c r="X11" i="21"/>
  <c r="T11" i="21"/>
  <c r="K11" i="21"/>
  <c r="X9" i="21"/>
  <c r="T9" i="21"/>
  <c r="X8" i="21"/>
  <c r="T8" i="21"/>
  <c r="K8" i="21"/>
  <c r="X7" i="21"/>
  <c r="T7" i="21"/>
  <c r="K7" i="21"/>
  <c r="X6" i="21"/>
  <c r="T6" i="21"/>
  <c r="K6" i="21"/>
  <c r="X5" i="21"/>
  <c r="T5" i="21"/>
  <c r="K5" i="21"/>
  <c r="X4" i="21"/>
  <c r="K4" i="21"/>
  <c r="Z4" i="21" s="1"/>
  <c r="F4" i="21"/>
  <c r="B57" i="15"/>
  <c r="D12" i="9"/>
  <c r="D32" i="8" s="1"/>
  <c r="E33" i="9"/>
  <c r="G33" i="9" s="1"/>
  <c r="E32" i="9"/>
  <c r="G32" i="9" s="1"/>
  <c r="D100" i="21" s="1"/>
  <c r="E31" i="9"/>
  <c r="G31" i="9" s="1"/>
  <c r="D88" i="21" s="1"/>
  <c r="E30" i="9"/>
  <c r="G30" i="9" s="1"/>
  <c r="D83" i="21" s="1"/>
  <c r="E29" i="9"/>
  <c r="G29" i="9" s="1"/>
  <c r="D45" i="21" s="1"/>
  <c r="E28" i="9"/>
  <c r="G28" i="9" s="1"/>
  <c r="E27" i="9"/>
  <c r="G27" i="9" s="1"/>
  <c r="D37" i="9" s="1"/>
  <c r="E26" i="9"/>
  <c r="G26" i="9" s="1"/>
  <c r="D20" i="21" s="1"/>
  <c r="D43" i="21" s="1"/>
  <c r="E25" i="9"/>
  <c r="G25" i="9" s="1"/>
  <c r="D16" i="21" s="1"/>
  <c r="E24" i="9"/>
  <c r="G24" i="9" s="1"/>
  <c r="E5" i="20"/>
  <c r="P5" i="20"/>
  <c r="O5" i="20"/>
  <c r="N5" i="20"/>
  <c r="M5" i="20"/>
  <c r="L5" i="20"/>
  <c r="K5" i="20"/>
  <c r="J5" i="20"/>
  <c r="I5" i="20"/>
  <c r="H5" i="20"/>
  <c r="G5" i="20"/>
  <c r="E15" i="20"/>
  <c r="F15" i="20"/>
  <c r="E14" i="20"/>
  <c r="F14" i="20"/>
  <c r="E11" i="20"/>
  <c r="F11" i="20"/>
  <c r="F10" i="20"/>
  <c r="F12" i="20"/>
  <c r="F13" i="20"/>
  <c r="F16" i="20"/>
  <c r="F17" i="20"/>
  <c r="F18" i="20"/>
  <c r="F19" i="20"/>
  <c r="F20" i="20"/>
  <c r="F21" i="20"/>
  <c r="F9" i="20"/>
  <c r="E10" i="20"/>
  <c r="E12" i="20"/>
  <c r="E13" i="20"/>
  <c r="E16" i="20"/>
  <c r="E17" i="20"/>
  <c r="E18" i="20"/>
  <c r="E19" i="20"/>
  <c r="E20" i="20"/>
  <c r="E21" i="20"/>
  <c r="E9" i="20"/>
  <c r="D21" i="9"/>
  <c r="A13" i="19"/>
  <c r="E43" i="18"/>
  <c r="E7" i="17"/>
  <c r="B7" i="17"/>
  <c r="C7" i="17"/>
  <c r="E4" i="17"/>
  <c r="E3" i="17"/>
  <c r="B40" i="15"/>
  <c r="D14" i="9"/>
  <c r="D13" i="9"/>
  <c r="E13" i="18" l="1"/>
  <c r="C22" i="18" s="1"/>
  <c r="D22" i="18" s="1"/>
  <c r="F13" i="18"/>
  <c r="E15" i="18"/>
  <c r="C13" i="13"/>
  <c r="B81" i="18"/>
  <c r="B82" i="18" s="1"/>
  <c r="B83" i="18" s="1"/>
  <c r="B84" i="18" s="1"/>
  <c r="F51" i="18"/>
  <c r="C23" i="18"/>
  <c r="D74" i="21"/>
  <c r="D49" i="21"/>
  <c r="D53" i="21"/>
  <c r="D51" i="21"/>
  <c r="D63" i="21"/>
  <c r="D66" i="21"/>
  <c r="D62" i="21"/>
  <c r="D80" i="21"/>
  <c r="D55" i="21"/>
  <c r="D79" i="21"/>
  <c r="D76" i="21"/>
  <c r="D61" i="21"/>
  <c r="D58" i="21"/>
  <c r="D78" i="21"/>
  <c r="D68" i="21"/>
  <c r="D72" i="21"/>
  <c r="D47" i="21"/>
  <c r="D57" i="21"/>
  <c r="D71" i="21"/>
  <c r="D50" i="21"/>
  <c r="D70" i="21"/>
  <c r="D60" i="21"/>
  <c r="D64" i="21"/>
  <c r="D65" i="21"/>
  <c r="D67" i="21"/>
  <c r="D46" i="21"/>
  <c r="D81" i="21"/>
  <c r="D54" i="21"/>
  <c r="D52" i="21"/>
  <c r="D56" i="21"/>
  <c r="D73" i="21"/>
  <c r="D77" i="21"/>
  <c r="D75" i="21"/>
  <c r="D48" i="21"/>
  <c r="D69" i="21"/>
  <c r="D59" i="21"/>
  <c r="D98" i="21"/>
  <c r="D93" i="21"/>
  <c r="D90" i="21"/>
  <c r="D91" i="21"/>
  <c r="D89" i="21"/>
  <c r="D97" i="21"/>
  <c r="D92" i="21"/>
  <c r="D96" i="21"/>
  <c r="D95" i="21"/>
  <c r="D94" i="21"/>
  <c r="D102" i="21"/>
  <c r="D106" i="21"/>
  <c r="D101" i="21"/>
  <c r="D108" i="21"/>
  <c r="D105" i="21"/>
  <c r="D112" i="21"/>
  <c r="D111" i="21"/>
  <c r="D110" i="21"/>
  <c r="D104" i="21"/>
  <c r="D109" i="21"/>
  <c r="D103" i="21"/>
  <c r="D107" i="21"/>
  <c r="D25" i="21"/>
  <c r="D30" i="21"/>
  <c r="D35" i="21"/>
  <c r="D32" i="21"/>
  <c r="D21" i="21"/>
  <c r="D28" i="21"/>
  <c r="D22" i="21"/>
  <c r="D40" i="21"/>
  <c r="D36" i="21"/>
  <c r="D38" i="21"/>
  <c r="D27" i="21"/>
  <c r="D41" i="21"/>
  <c r="D37" i="21"/>
  <c r="D42" i="21"/>
  <c r="D24" i="21"/>
  <c r="D26" i="21"/>
  <c r="D33" i="21"/>
  <c r="D29" i="21"/>
  <c r="D34" i="21"/>
  <c r="D39" i="21"/>
  <c r="D31" i="21"/>
  <c r="D23" i="21"/>
  <c r="D86" i="21"/>
  <c r="D85" i="21"/>
  <c r="D84" i="21"/>
  <c r="D18" i="21"/>
  <c r="D17" i="21"/>
  <c r="E34" i="9"/>
  <c r="G34" i="9" s="1"/>
  <c r="D114" i="21" s="1"/>
  <c r="D115" i="21" s="1"/>
  <c r="K65" i="21"/>
  <c r="D11" i="9"/>
  <c r="B23" i="15"/>
  <c r="D24" i="15"/>
  <c r="D23" i="15" s="1"/>
  <c r="C24" i="15"/>
  <c r="C23" i="15" s="1"/>
  <c r="B24" i="15"/>
  <c r="D7" i="33" l="1"/>
  <c r="C7" i="33"/>
  <c r="C8" i="19"/>
  <c r="E53" i="18"/>
  <c r="D116" i="21"/>
  <c r="D118" i="21"/>
  <c r="D117" i="21"/>
  <c r="D119" i="21"/>
  <c r="F81" i="8"/>
  <c r="E54" i="18" l="1"/>
  <c r="D38" i="9"/>
  <c r="E14" i="18"/>
  <c r="D33" i="8"/>
  <c r="G9" i="14"/>
  <c r="B6" i="14"/>
  <c r="D29" i="8"/>
  <c r="B28" i="1" l="1"/>
  <c r="G44" i="8" l="1"/>
  <c r="AM45" i="8" s="1"/>
  <c r="Q45" i="8"/>
  <c r="R46" i="8" s="1"/>
  <c r="S47" i="8" s="1"/>
  <c r="P45" i="8"/>
  <c r="Q46" i="8" s="1"/>
  <c r="R47" i="8" s="1"/>
  <c r="S48" i="8" s="1"/>
  <c r="G27" i="8"/>
  <c r="F16" i="8"/>
  <c r="E16" i="8"/>
  <c r="N39" i="8"/>
  <c r="A46" i="8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E25" i="8"/>
  <c r="AO45" i="8" l="1"/>
  <c r="AJ45" i="8"/>
  <c r="AL45" i="8"/>
  <c r="AN45" i="8"/>
  <c r="AK45" i="8"/>
  <c r="A47" i="19" l="1"/>
  <c r="A48" i="19" l="1"/>
  <c r="A49" i="19" l="1"/>
  <c r="A50" i="19" l="1"/>
  <c r="A51" i="19" l="1"/>
  <c r="A52" i="19" l="1"/>
  <c r="A53" i="19" l="1"/>
  <c r="A54" i="19" l="1"/>
  <c r="A55" i="19" l="1"/>
  <c r="A56" i="19" l="1"/>
  <c r="A57" i="19" l="1"/>
  <c r="A58" i="19" l="1"/>
  <c r="A59" i="19" l="1"/>
  <c r="A60" i="19" l="1"/>
  <c r="A61" i="19" l="1"/>
  <c r="A62" i="19" l="1"/>
  <c r="A63" i="19" l="1"/>
  <c r="A64" i="19" l="1"/>
  <c r="A65" i="19" l="1"/>
  <c r="A66" i="19" l="1"/>
  <c r="A67" i="19" l="1"/>
  <c r="A68" i="19" l="1"/>
  <c r="A69" i="19" l="1"/>
  <c r="A70" i="19" l="1"/>
  <c r="A71" i="19" l="1"/>
  <c r="A72" i="19" l="1"/>
  <c r="A73" i="19" l="1"/>
  <c r="A74" i="19" l="1"/>
  <c r="A75" i="19" l="1"/>
  <c r="A76" i="19" l="1"/>
  <c r="A77" i="19" l="1"/>
  <c r="A78" i="19" l="1"/>
  <c r="A79" i="19" l="1"/>
  <c r="A80" i="19" l="1"/>
  <c r="A81" i="19" l="1"/>
  <c r="A82" i="19" l="1"/>
  <c r="A83" i="19" l="1"/>
  <c r="A84" i="19" l="1"/>
  <c r="A85" i="19" l="1"/>
  <c r="A86" i="19" l="1"/>
  <c r="A87" i="19" l="1"/>
  <c r="A88" i="19" l="1"/>
  <c r="A89" i="19" l="1"/>
  <c r="A90" i="19" l="1"/>
  <c r="A91" i="19" l="1"/>
  <c r="A92" i="19" l="1"/>
  <c r="A93" i="19" l="1"/>
  <c r="A94" i="19" l="1"/>
  <c r="A95" i="19" l="1"/>
  <c r="A96" i="19" l="1"/>
  <c r="A97" i="19" l="1"/>
  <c r="A98" i="19" l="1"/>
  <c r="A99" i="19" l="1"/>
  <c r="A100" i="19" l="1"/>
  <c r="A101" i="19" l="1"/>
  <c r="A102" i="19" l="1"/>
  <c r="A103" i="19" l="1"/>
  <c r="A104" i="19" l="1"/>
  <c r="A105" i="19" l="1"/>
  <c r="A106" i="19" l="1"/>
  <c r="A107" i="19" l="1"/>
  <c r="A108" i="19" l="1"/>
  <c r="A109" i="19" l="1"/>
  <c r="A110" i="19" l="1"/>
  <c r="A111" i="19" l="1"/>
  <c r="A112" i="19" l="1"/>
  <c r="X69" i="8"/>
  <c r="Y70" i="8" s="1"/>
  <c r="X47" i="8"/>
  <c r="Y48" i="8" s="1"/>
  <c r="X49" i="8"/>
  <c r="Y50" i="8" s="1"/>
  <c r="X73" i="8"/>
  <c r="Y74" i="8" s="1"/>
  <c r="X65" i="8"/>
  <c r="Y66" i="8" s="1"/>
  <c r="X63" i="8"/>
  <c r="Y64" i="8" s="1"/>
  <c r="X53" i="8"/>
  <c r="Y54" i="8" s="1"/>
  <c r="X71" i="8"/>
  <c r="Y72" i="8" s="1"/>
  <c r="X66" i="8"/>
  <c r="Y67" i="8" s="1"/>
  <c r="X77" i="8"/>
  <c r="Y78" i="8" s="1"/>
  <c r="X58" i="8"/>
  <c r="Y59" i="8" s="1"/>
  <c r="X54" i="8"/>
  <c r="Y55" i="8" s="1"/>
  <c r="X55" i="8"/>
  <c r="Y56" i="8" s="1"/>
  <c r="X76" i="8"/>
  <c r="Y77" i="8" s="1"/>
  <c r="X51" i="8"/>
  <c r="Y52" i="8" s="1"/>
  <c r="X61" i="8"/>
  <c r="Y62" i="8" s="1"/>
  <c r="X74" i="8"/>
  <c r="Y75" i="8" s="1"/>
  <c r="X50" i="8"/>
  <c r="Y51" i="8" s="1"/>
  <c r="X68" i="8"/>
  <c r="Y69" i="8" s="1"/>
  <c r="X57" i="8"/>
  <c r="Y58" i="8" s="1"/>
  <c r="X75" i="8"/>
  <c r="Y76" i="8" s="1"/>
  <c r="X64" i="8"/>
  <c r="Y65" i="8" s="1"/>
  <c r="X46" i="8"/>
  <c r="Y47" i="8" s="1"/>
  <c r="X59" i="8"/>
  <c r="Y60" i="8" s="1"/>
  <c r="X67" i="8"/>
  <c r="Y68" i="8" s="1"/>
  <c r="X56" i="8"/>
  <c r="Y57" i="8" s="1"/>
  <c r="X70" i="8"/>
  <c r="Y71" i="8" s="1"/>
  <c r="X60" i="8"/>
  <c r="Y61" i="8" s="1"/>
  <c r="X72" i="8"/>
  <c r="Y73" i="8" s="1"/>
  <c r="X45" i="8"/>
  <c r="X52" i="8"/>
  <c r="Y53" i="8" s="1"/>
  <c r="F20" i="8"/>
  <c r="I44" i="8"/>
  <c r="X44" i="8"/>
  <c r="X78" i="8"/>
  <c r="Y79" i="8" s="1"/>
  <c r="X48" i="8"/>
  <c r="Y49" i="8" s="1"/>
  <c r="X62" i="8"/>
  <c r="Y63" i="8" s="1"/>
  <c r="X80" i="8"/>
  <c r="X79" i="8"/>
  <c r="Y80" i="8" s="1"/>
  <c r="A113" i="19" l="1"/>
  <c r="Y46" i="8"/>
  <c r="C44" i="8"/>
  <c r="I45" i="8" s="1"/>
  <c r="Y45" i="8"/>
  <c r="AE45" i="8"/>
  <c r="AB45" i="8"/>
  <c r="AC45" i="8"/>
  <c r="AF45" i="8"/>
  <c r="AD45" i="8"/>
  <c r="AA45" i="8"/>
  <c r="Z45" i="8"/>
  <c r="A114" i="19" l="1"/>
  <c r="AC46" i="8"/>
  <c r="AD46" i="8"/>
  <c r="AB46" i="8"/>
  <c r="AF46" i="8"/>
  <c r="Z46" i="8"/>
  <c r="AA46" i="8"/>
  <c r="AE46" i="8"/>
  <c r="C45" i="8"/>
  <c r="I46" i="8" s="1"/>
  <c r="A115" i="19" l="1"/>
  <c r="AA47" i="8"/>
  <c r="AC47" i="8"/>
  <c r="C46" i="8"/>
  <c r="I47" i="8" s="1"/>
  <c r="Z48" i="8" s="1"/>
  <c r="Z47" i="8"/>
  <c r="AE47" i="8"/>
  <c r="AF47" i="8"/>
  <c r="AB47" i="8"/>
  <c r="AD47" i="8"/>
  <c r="A116" i="19" l="1"/>
  <c r="AC48" i="8"/>
  <c r="AD48" i="8"/>
  <c r="AF48" i="8"/>
  <c r="AA48" i="8"/>
  <c r="C47" i="8"/>
  <c r="I48" i="8" s="1"/>
  <c r="Z49" i="8" s="1"/>
  <c r="AE48" i="8"/>
  <c r="AB48" i="8"/>
  <c r="A117" i="19" l="1"/>
  <c r="AF49" i="8"/>
  <c r="AE49" i="8"/>
  <c r="AA49" i="8"/>
  <c r="AC49" i="8"/>
  <c r="AB49" i="8"/>
  <c r="C48" i="8"/>
  <c r="I49" i="8" s="1"/>
  <c r="AF50" i="8" s="1"/>
  <c r="AD49" i="8"/>
  <c r="A118" i="19" l="1"/>
  <c r="AE50" i="8"/>
  <c r="AC50" i="8"/>
  <c r="AD50" i="8"/>
  <c r="C49" i="8"/>
  <c r="I50" i="8" s="1"/>
  <c r="Z50" i="8"/>
  <c r="AA50" i="8"/>
  <c r="AB50" i="8"/>
  <c r="A119" i="19" l="1"/>
  <c r="AC51" i="8"/>
  <c r="AF51" i="8"/>
  <c r="AE51" i="8"/>
  <c r="AD51" i="8"/>
  <c r="Z51" i="8"/>
  <c r="C50" i="8"/>
  <c r="I51" i="8" s="1"/>
  <c r="Z52" i="8" s="1"/>
  <c r="AB51" i="8"/>
  <c r="AA51" i="8"/>
  <c r="A120" i="19" l="1"/>
  <c r="AB52" i="8"/>
  <c r="AC52" i="8"/>
  <c r="AE52" i="8"/>
  <c r="AA52" i="8"/>
  <c r="C51" i="8"/>
  <c r="I52" i="8" s="1"/>
  <c r="AF52" i="8"/>
  <c r="AD52" i="8"/>
  <c r="A121" i="19" l="1"/>
  <c r="AE53" i="8"/>
  <c r="AB53" i="8"/>
  <c r="AF53" i="8"/>
  <c r="AD53" i="8"/>
  <c r="Z53" i="8"/>
  <c r="C52" i="8"/>
  <c r="I53" i="8" s="1"/>
  <c r="Z54" i="8" s="1"/>
  <c r="AA53" i="8"/>
  <c r="AC53" i="8"/>
  <c r="A122" i="19" l="1"/>
  <c r="AD54" i="8"/>
  <c r="AB54" i="8"/>
  <c r="AF54" i="8"/>
  <c r="AE54" i="8"/>
  <c r="C53" i="8"/>
  <c r="I54" i="8" s="1"/>
  <c r="AA54" i="8"/>
  <c r="AC54" i="8"/>
  <c r="A123" i="19" l="1"/>
  <c r="Z55" i="8"/>
  <c r="AE55" i="8"/>
  <c r="AF55" i="8"/>
  <c r="AA55" i="8"/>
  <c r="AB55" i="8"/>
  <c r="C54" i="8"/>
  <c r="I55" i="8" s="1"/>
  <c r="Z56" i="8" s="1"/>
  <c r="AD55" i="8"/>
  <c r="AC55" i="8"/>
  <c r="A124" i="19" l="1"/>
  <c r="AC56" i="8"/>
  <c r="AE56" i="8"/>
  <c r="AF56" i="8"/>
  <c r="AD56" i="8"/>
  <c r="AB56" i="8"/>
  <c r="C55" i="8"/>
  <c r="I56" i="8" s="1"/>
  <c r="Z57" i="8" s="1"/>
  <c r="AA56" i="8"/>
  <c r="A125" i="19" l="1"/>
  <c r="AF57" i="8"/>
  <c r="AB57" i="8"/>
  <c r="AD57" i="8"/>
  <c r="C56" i="8"/>
  <c r="I57" i="8" s="1"/>
  <c r="AC57" i="8"/>
  <c r="AE57" i="8"/>
  <c r="AA57" i="8"/>
  <c r="A126" i="19" l="1"/>
  <c r="Z58" i="8"/>
  <c r="AA58" i="8"/>
  <c r="AE58" i="8"/>
  <c r="AC58" i="8"/>
  <c r="AF58" i="8"/>
  <c r="AB58" i="8"/>
  <c r="AD58" i="8"/>
  <c r="C57" i="8"/>
  <c r="I58" i="8" s="1"/>
  <c r="Z59" i="8" s="1"/>
  <c r="A127" i="19" l="1"/>
  <c r="AF59" i="8"/>
  <c r="AD59" i="8"/>
  <c r="AB59" i="8"/>
  <c r="AE59" i="8"/>
  <c r="AC59" i="8"/>
  <c r="AA59" i="8"/>
  <c r="C58" i="8"/>
  <c r="I59" i="8" s="1"/>
  <c r="A128" i="19" l="1"/>
  <c r="AB60" i="8"/>
  <c r="AF60" i="8"/>
  <c r="AC60" i="8"/>
  <c r="Z60" i="8"/>
  <c r="AD60" i="8"/>
  <c r="AE60" i="8"/>
  <c r="C59" i="8"/>
  <c r="I60" i="8" s="1"/>
  <c r="Z61" i="8" s="1"/>
  <c r="AA60" i="8"/>
  <c r="A129" i="19" l="1"/>
  <c r="AB61" i="8"/>
  <c r="AE61" i="8"/>
  <c r="C60" i="8"/>
  <c r="I61" i="8" s="1"/>
  <c r="Z62" i="8" s="1"/>
  <c r="AA61" i="8"/>
  <c r="AD61" i="8"/>
  <c r="AC61" i="8"/>
  <c r="AF61" i="8"/>
  <c r="A130" i="19" l="1"/>
  <c r="AE62" i="8"/>
  <c r="C61" i="8"/>
  <c r="I62" i="8" s="1"/>
  <c r="AB62" i="8"/>
  <c r="AF62" i="8"/>
  <c r="AA62" i="8"/>
  <c r="AD62" i="8"/>
  <c r="AC62" i="8"/>
  <c r="A131" i="19" l="1"/>
  <c r="Z63" i="8"/>
  <c r="AF63" i="8"/>
  <c r="AA63" i="8"/>
  <c r="AE63" i="8"/>
  <c r="AD63" i="8"/>
  <c r="AB63" i="8"/>
  <c r="AC63" i="8"/>
  <c r="C62" i="8"/>
  <c r="I63" i="8" s="1"/>
  <c r="Z64" i="8" s="1"/>
  <c r="A132" i="19" l="1"/>
  <c r="AF64" i="8"/>
  <c r="AC64" i="8"/>
  <c r="AB64" i="8"/>
  <c r="AA64" i="8"/>
  <c r="C63" i="8"/>
  <c r="I64" i="8" s="1"/>
  <c r="Z65" i="8" s="1"/>
  <c r="AE64" i="8"/>
  <c r="AD64" i="8"/>
  <c r="A133" i="19" l="1"/>
  <c r="AE65" i="8"/>
  <c r="AB65" i="8"/>
  <c r="AC65" i="8"/>
  <c r="AF65" i="8"/>
  <c r="AD65" i="8"/>
  <c r="C64" i="8"/>
  <c r="I65" i="8" s="1"/>
  <c r="AA65" i="8"/>
  <c r="A134" i="19" l="1"/>
  <c r="AE66" i="8"/>
  <c r="Z66" i="8"/>
  <c r="AF66" i="8"/>
  <c r="AA66" i="8"/>
  <c r="AD66" i="8"/>
  <c r="AB66" i="8"/>
  <c r="C65" i="8"/>
  <c r="I66" i="8" s="1"/>
  <c r="Z67" i="8" s="1"/>
  <c r="AC66" i="8"/>
  <c r="A135" i="19" l="1"/>
  <c r="AB67" i="8"/>
  <c r="AD67" i="8"/>
  <c r="AF67" i="8"/>
  <c r="AC67" i="8"/>
  <c r="AE67" i="8"/>
  <c r="C66" i="8"/>
  <c r="I67" i="8" s="1"/>
  <c r="AA67" i="8"/>
  <c r="A136" i="19" l="1"/>
  <c r="Z68" i="8"/>
  <c r="AA68" i="8"/>
  <c r="AC68" i="8"/>
  <c r="AE68" i="8"/>
  <c r="C67" i="8"/>
  <c r="I68" i="8" s="1"/>
  <c r="Z69" i="8" s="1"/>
  <c r="AB68" i="8"/>
  <c r="AD68" i="8"/>
  <c r="AF68" i="8"/>
  <c r="A137" i="19" l="1"/>
  <c r="AE69" i="8"/>
  <c r="AD69" i="8"/>
  <c r="AC69" i="8"/>
  <c r="AF69" i="8"/>
  <c r="AB69" i="8"/>
  <c r="AA69" i="8"/>
  <c r="C68" i="8"/>
  <c r="I69" i="8" s="1"/>
  <c r="AF70" i="8" s="1"/>
  <c r="A138" i="19" l="1"/>
  <c r="C69" i="8"/>
  <c r="I70" i="8" s="1"/>
  <c r="Z71" i="8" s="1"/>
  <c r="AA70" i="8"/>
  <c r="Z70" i="8"/>
  <c r="AD70" i="8"/>
  <c r="AC70" i="8"/>
  <c r="AB70" i="8"/>
  <c r="AE70" i="8"/>
  <c r="AF71" i="8" s="1"/>
  <c r="A139" i="19" l="1"/>
  <c r="AC71" i="8"/>
  <c r="AD71" i="8"/>
  <c r="AB71" i="8"/>
  <c r="AE71" i="8"/>
  <c r="AA71" i="8"/>
  <c r="C70" i="8"/>
  <c r="I71" i="8" s="1"/>
  <c r="A140" i="19" l="1"/>
  <c r="AF72" i="8"/>
  <c r="AE72" i="8"/>
  <c r="AC72" i="8"/>
  <c r="AB72" i="8"/>
  <c r="C71" i="8"/>
  <c r="I72" i="8" s="1"/>
  <c r="Z73" i="8" s="1"/>
  <c r="AA72" i="8"/>
  <c r="Z72" i="8"/>
  <c r="AD72" i="8"/>
  <c r="A141" i="19" l="1"/>
  <c r="AE73" i="8"/>
  <c r="AA73" i="8"/>
  <c r="C72" i="8"/>
  <c r="I73" i="8" s="1"/>
  <c r="AB73" i="8"/>
  <c r="AC73" i="8"/>
  <c r="AF73" i="8"/>
  <c r="AD73" i="8"/>
  <c r="A142" i="19" l="1"/>
  <c r="AD74" i="8"/>
  <c r="AE74" i="8"/>
  <c r="C73" i="8"/>
  <c r="I74" i="8" s="1"/>
  <c r="Z75" i="8" s="1"/>
  <c r="AA74" i="8"/>
  <c r="Z74" i="8"/>
  <c r="AC74" i="8"/>
  <c r="AB74" i="8"/>
  <c r="AF74" i="8"/>
  <c r="A143" i="19" l="1"/>
  <c r="AD75" i="8"/>
  <c r="AC75" i="8"/>
  <c r="AF75" i="8"/>
  <c r="AE75" i="8"/>
  <c r="AB75" i="8"/>
  <c r="AA75" i="8"/>
  <c r="C74" i="8"/>
  <c r="I75" i="8" s="1"/>
  <c r="A144" i="19" l="1"/>
  <c r="AF76" i="8"/>
  <c r="AD76" i="8"/>
  <c r="AC76" i="8"/>
  <c r="AB76" i="8"/>
  <c r="C75" i="8"/>
  <c r="I76" i="8" s="1"/>
  <c r="Z77" i="8" s="1"/>
  <c r="Z76" i="8"/>
  <c r="AA76" i="8"/>
  <c r="AE76" i="8"/>
  <c r="A145" i="19" l="1"/>
  <c r="AC77" i="8"/>
  <c r="AA77" i="8"/>
  <c r="C76" i="8"/>
  <c r="I77" i="8" s="1"/>
  <c r="AB77" i="8"/>
  <c r="AD77" i="8"/>
  <c r="AF77" i="8"/>
  <c r="AE77" i="8"/>
  <c r="A146" i="19" l="1"/>
  <c r="AD78" i="8"/>
  <c r="Z78" i="8"/>
  <c r="AC78" i="8"/>
  <c r="AA78" i="8"/>
  <c r="AB78" i="8"/>
  <c r="AE78" i="8"/>
  <c r="AF78" i="8"/>
  <c r="C77" i="8"/>
  <c r="I78" i="8" s="1"/>
  <c r="Z79" i="8" s="1"/>
  <c r="A147" i="19" l="1"/>
  <c r="AD79" i="8"/>
  <c r="AE79" i="8"/>
  <c r="AB79" i="8"/>
  <c r="C78" i="8"/>
  <c r="I79" i="8" s="1"/>
  <c r="Z80" i="8" s="1"/>
  <c r="AA79" i="8"/>
  <c r="AF79" i="8"/>
  <c r="AC79" i="8"/>
  <c r="A148" i="19" l="1"/>
  <c r="AF80" i="8"/>
  <c r="AE80" i="8"/>
  <c r="AD80" i="8"/>
  <c r="AA80" i="8"/>
  <c r="AB80" i="8"/>
  <c r="C79" i="8"/>
  <c r="I80" i="8" s="1"/>
  <c r="AC80" i="8"/>
  <c r="A149" i="19" l="1"/>
  <c r="C80" i="8"/>
  <c r="A150" i="19" l="1"/>
  <c r="A151" i="19" l="1"/>
  <c r="A152" i="19" l="1"/>
  <c r="A153" i="19" l="1"/>
  <c r="A154" i="19" l="1"/>
  <c r="A155" i="19" l="1"/>
  <c r="A156" i="19" l="1"/>
  <c r="A157" i="19" l="1"/>
  <c r="A158" i="19" l="1"/>
  <c r="A159" i="19" l="1"/>
  <c r="A160" i="19" l="1"/>
  <c r="A161" i="19" l="1"/>
  <c r="A162" i="19" l="1"/>
  <c r="A163" i="19" l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F18" i="8" l="1"/>
  <c r="B5" i="15"/>
  <c r="J127" i="21" l="1"/>
  <c r="D14" i="8" l="1"/>
  <c r="E20" i="8" s="1"/>
  <c r="G127" i="21" l="1"/>
  <c r="D45" i="27" l="1"/>
  <c r="F45" i="27" s="1"/>
  <c r="F50" i="18"/>
  <c r="E51" i="18"/>
  <c r="D20" i="18"/>
  <c r="B11" i="33" l="1"/>
  <c r="E52" i="18"/>
  <c r="E18" i="18"/>
  <c r="F20" i="18"/>
  <c r="E20" i="18"/>
  <c r="G7" i="19" s="1"/>
  <c r="B40" i="33" l="1"/>
  <c r="B14" i="33"/>
  <c r="B10" i="33"/>
  <c r="D21" i="18"/>
  <c r="E60" i="18"/>
  <c r="E72" i="18"/>
  <c r="E75" i="18" s="1"/>
  <c r="B49" i="33" l="1"/>
  <c r="C31" i="33" s="1"/>
  <c r="B24" i="33"/>
  <c r="E76" i="18"/>
  <c r="D15" i="1"/>
  <c r="E49" i="33" l="1"/>
  <c r="D19" i="24" l="1"/>
  <c r="E19" i="24" s="1"/>
  <c r="D21" i="24"/>
  <c r="E21" i="24" s="1"/>
  <c r="D25" i="24"/>
  <c r="E25" i="24" s="1"/>
  <c r="D17" i="24"/>
  <c r="E17" i="24" s="1"/>
  <c r="D22" i="24"/>
  <c r="E22" i="24" s="1"/>
  <c r="D18" i="24"/>
  <c r="E18" i="24" s="1"/>
  <c r="D26" i="24"/>
  <c r="E26" i="24" s="1"/>
  <c r="D23" i="24"/>
  <c r="E23" i="24" s="1"/>
  <c r="D28" i="24"/>
  <c r="D24" i="24"/>
  <c r="E24" i="24" s="1"/>
  <c r="E16" i="24"/>
  <c r="D20" i="24"/>
  <c r="E20" i="24" s="1"/>
  <c r="E15" i="24" l="1"/>
  <c r="D10" i="24"/>
  <c r="F28" i="24"/>
  <c r="E28" i="24"/>
  <c r="G28" i="24" l="1"/>
  <c r="D43" i="24" l="1"/>
  <c r="E43" i="24" s="1"/>
  <c r="D41" i="24"/>
  <c r="E41" i="24" s="1"/>
  <c r="D42" i="24"/>
  <c r="E42" i="24" s="1"/>
  <c r="D39" i="24"/>
  <c r="E40" i="24"/>
  <c r="D44" i="24"/>
  <c r="E44" i="24" s="1"/>
  <c r="D37" i="24" l="1"/>
  <c r="E39" i="24"/>
  <c r="E38" i="24" s="1"/>
  <c r="D12" i="24" s="1"/>
  <c r="D40" i="24"/>
  <c r="D4" i="24" l="1"/>
  <c r="F6" i="24" l="1"/>
  <c r="F7" i="24" l="1"/>
  <c r="F1" i="24" l="1"/>
  <c r="F21" i="24" l="1"/>
  <c r="G21" i="24" s="1"/>
  <c r="F25" i="24"/>
  <c r="G25" i="24" s="1"/>
  <c r="F23" i="24"/>
  <c r="G23" i="24" s="1"/>
  <c r="F8" i="24"/>
  <c r="F5" i="24" s="1"/>
  <c r="F17" i="24"/>
  <c r="G17" i="24" s="1"/>
  <c r="F22" i="24"/>
  <c r="G22" i="24" s="1"/>
  <c r="F24" i="24"/>
  <c r="G24" i="24" s="1"/>
  <c r="F20" i="24"/>
  <c r="G20" i="24" s="1"/>
  <c r="F18" i="24"/>
  <c r="G18" i="24" s="1"/>
  <c r="F19" i="24"/>
  <c r="G19" i="24" s="1"/>
  <c r="F26" i="24"/>
  <c r="G26" i="24" s="1"/>
  <c r="F16" i="24"/>
  <c r="G16" i="24" s="1"/>
  <c r="F9" i="24" l="1"/>
  <c r="G15" i="24"/>
  <c r="F10" i="24"/>
  <c r="C1" i="14" l="1"/>
  <c r="I9" i="14" l="1"/>
  <c r="E1" i="14"/>
  <c r="I10" i="14"/>
  <c r="D33" i="18"/>
  <c r="F35" i="8"/>
  <c r="F32" i="8"/>
  <c r="G18" i="8" s="1"/>
  <c r="AC126" i="21"/>
  <c r="F108" i="21"/>
  <c r="Z108" i="21" s="1"/>
  <c r="AD108" i="21" s="1"/>
  <c r="F90" i="21"/>
  <c r="Z90" i="21" s="1"/>
  <c r="AD90" i="21" s="1"/>
  <c r="F96" i="21"/>
  <c r="Z96" i="21" s="1"/>
  <c r="AD96" i="21" s="1"/>
  <c r="F25" i="21"/>
  <c r="Z25" i="21" s="1"/>
  <c r="AD25" i="21" s="1"/>
  <c r="D6" i="9"/>
  <c r="F29" i="21"/>
  <c r="Z29" i="21" s="1"/>
  <c r="AD29" i="21" s="1"/>
  <c r="F92" i="21"/>
  <c r="Z92" i="21" s="1"/>
  <c r="AD92" i="21" s="1"/>
  <c r="F58" i="21"/>
  <c r="Z58" i="21" s="1"/>
  <c r="AD58" i="21" s="1"/>
  <c r="F59" i="21"/>
  <c r="Z59" i="21" s="1"/>
  <c r="AD59" i="21" s="1"/>
  <c r="F35" i="21"/>
  <c r="Z35" i="21" s="1"/>
  <c r="AD35" i="21" s="1"/>
  <c r="F33" i="21"/>
  <c r="Z33" i="21" s="1"/>
  <c r="AD33" i="21" s="1"/>
  <c r="F86" i="21"/>
  <c r="Z86" i="21" s="1"/>
  <c r="AD86" i="21" s="1"/>
  <c r="F109" i="21"/>
  <c r="Z109" i="21" s="1"/>
  <c r="AD109" i="21" s="1"/>
  <c r="F98" i="21"/>
  <c r="Z98" i="21" s="1"/>
  <c r="AD98" i="21" s="1"/>
  <c r="F24" i="21"/>
  <c r="Z24" i="21" s="1"/>
  <c r="AD24" i="21" s="1"/>
  <c r="F23" i="21"/>
  <c r="Z23" i="21" s="1"/>
  <c r="AD23" i="21" s="1"/>
  <c r="F69" i="21"/>
  <c r="Z69" i="21" s="1"/>
  <c r="AD69" i="21" s="1"/>
  <c r="F14" i="21"/>
  <c r="Z14" i="21" s="1"/>
  <c r="G129" i="21"/>
  <c r="F110" i="21"/>
  <c r="Z110" i="21" s="1"/>
  <c r="AD110" i="21" s="1"/>
  <c r="F103" i="21"/>
  <c r="Z103" i="21" s="1"/>
  <c r="AD103" i="21" s="1"/>
  <c r="F105" i="21"/>
  <c r="Z105" i="21" s="1"/>
  <c r="AD105" i="21" s="1"/>
  <c r="AC9" i="21"/>
  <c r="F62" i="21"/>
  <c r="Z62" i="21" s="1"/>
  <c r="AD62" i="21" s="1"/>
  <c r="F97" i="21"/>
  <c r="Z97" i="21" s="1"/>
  <c r="AD97" i="21" s="1"/>
  <c r="AC4" i="21"/>
  <c r="F91" i="21"/>
  <c r="Z91" i="21" s="1"/>
  <c r="AD91" i="21" s="1"/>
  <c r="F70" i="21"/>
  <c r="Z70" i="21" s="1"/>
  <c r="AD70" i="21" s="1"/>
  <c r="F94" i="21"/>
  <c r="Z94" i="21" s="1"/>
  <c r="AD94" i="21" s="1"/>
  <c r="F34" i="21"/>
  <c r="Z34" i="21" s="1"/>
  <c r="AD34" i="21" s="1"/>
  <c r="F117" i="21"/>
  <c r="Z117" i="21" s="1"/>
  <c r="F18" i="21"/>
  <c r="Z18" i="21" s="1"/>
  <c r="AD18" i="21" s="1"/>
  <c r="E37" i="9"/>
  <c r="B31" i="15"/>
  <c r="B33" i="15" s="1"/>
  <c r="B35" i="15" s="1"/>
  <c r="B13" i="15"/>
  <c r="AC62" i="21" l="1"/>
  <c r="AC90" i="21"/>
  <c r="AC94" i="21"/>
  <c r="AC69" i="21"/>
  <c r="AC33" i="21"/>
  <c r="E39" i="9"/>
  <c r="AC92" i="21"/>
  <c r="AC70" i="21"/>
  <c r="AC103" i="21"/>
  <c r="AC35" i="21"/>
  <c r="AC108" i="21"/>
  <c r="AC91" i="21"/>
  <c r="AC29" i="21"/>
  <c r="B41" i="15"/>
  <c r="B37" i="15"/>
  <c r="F14" i="9"/>
  <c r="AC23" i="21"/>
  <c r="AC105" i="21"/>
  <c r="AC24" i="21"/>
  <c r="AC59" i="21"/>
  <c r="AC25" i="21"/>
  <c r="H10" i="14"/>
  <c r="J10" i="14"/>
  <c r="AC117" i="21"/>
  <c r="AD117" i="21"/>
  <c r="AC86" i="21"/>
  <c r="B16" i="15"/>
  <c r="C16" i="15"/>
  <c r="D16" i="15"/>
  <c r="AC98" i="21"/>
  <c r="G20" i="8"/>
  <c r="N44" i="8" s="1"/>
  <c r="D21" i="8"/>
  <c r="AC14" i="21"/>
  <c r="AC34" i="21"/>
  <c r="AC110" i="21"/>
  <c r="AC18" i="21"/>
  <c r="AC97" i="21"/>
  <c r="AC109" i="21"/>
  <c r="AC58" i="21"/>
  <c r="AC96" i="21"/>
  <c r="J9" i="14"/>
  <c r="H9" i="14"/>
  <c r="AF70" i="21" l="1"/>
  <c r="AB70" i="21"/>
  <c r="D22" i="8"/>
  <c r="AF105" i="21"/>
  <c r="AB105" i="21"/>
  <c r="AB92" i="21"/>
  <c r="AF92" i="21"/>
  <c r="D15" i="15"/>
  <c r="D18" i="15"/>
  <c r="AB29" i="21"/>
  <c r="AF29" i="21"/>
  <c r="AB108" i="21"/>
  <c r="AF108" i="21"/>
  <c r="AB18" i="21"/>
  <c r="AF18" i="21"/>
  <c r="AB110" i="21"/>
  <c r="AF110" i="21"/>
  <c r="AB23" i="21"/>
  <c r="AF23" i="21"/>
  <c r="AF94" i="21"/>
  <c r="AB94" i="21"/>
  <c r="AB69" i="21"/>
  <c r="AF69" i="21"/>
  <c r="AF96" i="21"/>
  <c r="AB96" i="21"/>
  <c r="AB58" i="21"/>
  <c r="AF58" i="21"/>
  <c r="C15" i="15"/>
  <c r="C18" i="15"/>
  <c r="AB25" i="21"/>
  <c r="AF25" i="21"/>
  <c r="AB35" i="21"/>
  <c r="AF35" i="21"/>
  <c r="AG35" i="21"/>
  <c r="AB98" i="21"/>
  <c r="AF98" i="21"/>
  <c r="AB86" i="21"/>
  <c r="AF86" i="21"/>
  <c r="AF91" i="21"/>
  <c r="AB91" i="21"/>
  <c r="AB90" i="21"/>
  <c r="AF90" i="21"/>
  <c r="AB34" i="21"/>
  <c r="AG34" i="21"/>
  <c r="AF34" i="21"/>
  <c r="AB59" i="21"/>
  <c r="AF59" i="21"/>
  <c r="AB103" i="21"/>
  <c r="AF103" i="21"/>
  <c r="AB33" i="21"/>
  <c r="AF33" i="21"/>
  <c r="AF62" i="21"/>
  <c r="AB62" i="21"/>
  <c r="AB109" i="21"/>
  <c r="AF109" i="21"/>
  <c r="B18" i="15"/>
  <c r="B15" i="15"/>
  <c r="AF97" i="21"/>
  <c r="AB97" i="21"/>
  <c r="AB117" i="21"/>
  <c r="AF117" i="21"/>
  <c r="AB24" i="21"/>
  <c r="AF24" i="21"/>
  <c r="B44" i="15"/>
  <c r="E14" i="9" s="1"/>
  <c r="B43" i="15"/>
  <c r="B39" i="15"/>
  <c r="B38" i="15" s="1"/>
  <c r="D19" i="15" l="1"/>
  <c r="D25" i="15"/>
  <c r="D26" i="15" s="1"/>
  <c r="I18" i="8"/>
  <c r="I20" i="8" s="1"/>
  <c r="H18" i="8"/>
  <c r="J20" i="8"/>
  <c r="J18" i="8"/>
  <c r="B19" i="15"/>
  <c r="B25" i="15"/>
  <c r="B48" i="15"/>
  <c r="B50" i="15" s="1"/>
  <c r="B52" i="15" s="1"/>
  <c r="C19" i="15"/>
  <c r="C25" i="15"/>
  <c r="C26" i="15" s="1"/>
  <c r="C19" i="8" l="1"/>
  <c r="D8" i="8" s="1"/>
  <c r="F8" i="8" s="1"/>
  <c r="C18" i="8"/>
  <c r="F12" i="9" s="1"/>
  <c r="B58" i="15"/>
  <c r="B54" i="15"/>
  <c r="B26" i="15"/>
  <c r="AG44" i="8"/>
  <c r="B22" i="15"/>
  <c r="B20" i="15"/>
  <c r="F13" i="9"/>
  <c r="H20" i="8"/>
  <c r="D43" i="8"/>
  <c r="Q44" i="8"/>
  <c r="B27" i="15" l="1"/>
  <c r="E13" i="9" s="1"/>
  <c r="R44" i="8"/>
  <c r="R45" i="8"/>
  <c r="AH45" i="8"/>
  <c r="H44" i="8"/>
  <c r="M44" i="8"/>
  <c r="G123" i="21"/>
  <c r="G125" i="21" s="1"/>
  <c r="E12" i="9"/>
  <c r="E16" i="9" s="1"/>
  <c r="AH44" i="8"/>
  <c r="AI45" i="8" s="1"/>
  <c r="B59" i="15"/>
  <c r="B60" i="15" s="1"/>
  <c r="E15" i="9" s="1"/>
  <c r="B56" i="15"/>
  <c r="B55" i="15" s="1"/>
  <c r="B6" i="15" l="1"/>
  <c r="B8" i="15" s="1"/>
  <c r="B10" i="15" s="1"/>
  <c r="E11" i="9" s="1"/>
  <c r="G6" i="21"/>
  <c r="G10" i="21"/>
  <c r="F111" i="21"/>
  <c r="Z111" i="21" s="1"/>
  <c r="AD111" i="21" s="1"/>
  <c r="F54" i="21"/>
  <c r="Z54" i="21" s="1"/>
  <c r="AD54" i="21" s="1"/>
  <c r="F77" i="21"/>
  <c r="Z77" i="21" s="1"/>
  <c r="AD77" i="21" s="1"/>
  <c r="F11" i="21"/>
  <c r="Z11" i="21" s="1"/>
  <c r="AD11" i="21" s="1"/>
  <c r="F61" i="21"/>
  <c r="Z61" i="21" s="1"/>
  <c r="AD61" i="21" s="1"/>
  <c r="F30" i="21"/>
  <c r="Z30" i="21" s="1"/>
  <c r="AD30" i="21" s="1"/>
  <c r="F57" i="21"/>
  <c r="Z57" i="21" s="1"/>
  <c r="AD57" i="21" s="1"/>
  <c r="F43" i="21"/>
  <c r="Z43" i="21" s="1"/>
  <c r="AD43" i="21" s="1"/>
  <c r="F21" i="21"/>
  <c r="Z21" i="21" s="1"/>
  <c r="AD21" i="21" s="1"/>
  <c r="F47" i="21"/>
  <c r="Z47" i="21" s="1"/>
  <c r="AD47" i="21" s="1"/>
  <c r="F50" i="21"/>
  <c r="Z50" i="21" s="1"/>
  <c r="AD50" i="21" s="1"/>
  <c r="F55" i="21"/>
  <c r="Z55" i="21" s="1"/>
  <c r="AD55" i="21" s="1"/>
  <c r="F46" i="21"/>
  <c r="Z46" i="21" s="1"/>
  <c r="AD46" i="21" s="1"/>
  <c r="F48" i="21"/>
  <c r="Z48" i="21" s="1"/>
  <c r="AD48" i="21" s="1"/>
  <c r="F41" i="21"/>
  <c r="Z41" i="21" s="1"/>
  <c r="AD41" i="21" s="1"/>
  <c r="F115" i="21"/>
  <c r="Z115" i="21" s="1"/>
  <c r="F37" i="21"/>
  <c r="Z37" i="21" s="1"/>
  <c r="AD37" i="21" s="1"/>
  <c r="F17" i="21"/>
  <c r="F85" i="21"/>
  <c r="Z85" i="21" s="1"/>
  <c r="AD85" i="21" s="1"/>
  <c r="F72" i="21"/>
  <c r="Z72" i="21" s="1"/>
  <c r="AD72" i="21" s="1"/>
  <c r="F119" i="21"/>
  <c r="Z119" i="21" s="1"/>
  <c r="F93" i="21"/>
  <c r="Z93" i="21" s="1"/>
  <c r="AD93" i="21" s="1"/>
  <c r="F52" i="21"/>
  <c r="Z52" i="21" s="1"/>
  <c r="AD52" i="21" s="1"/>
  <c r="F28" i="21"/>
  <c r="Z28" i="21" s="1"/>
  <c r="F31" i="21"/>
  <c r="Z31" i="21" s="1"/>
  <c r="F8" i="21"/>
  <c r="Z8" i="21" s="1"/>
  <c r="AD8" i="21" s="1"/>
  <c r="F49" i="21"/>
  <c r="Z49" i="21" s="1"/>
  <c r="AD49" i="21" s="1"/>
  <c r="F64" i="21"/>
  <c r="Z64" i="21" s="1"/>
  <c r="AD64" i="21" s="1"/>
  <c r="F101" i="21"/>
  <c r="Z101" i="21" s="1"/>
  <c r="F76" i="21"/>
  <c r="Z76" i="21" s="1"/>
  <c r="AD76" i="21" s="1"/>
  <c r="F39" i="21"/>
  <c r="Z39" i="21" s="1"/>
  <c r="F63" i="21"/>
  <c r="Z63" i="21" s="1"/>
  <c r="AD63" i="21" s="1"/>
  <c r="F107" i="21"/>
  <c r="Z107" i="21" s="1"/>
  <c r="AD107" i="21" s="1"/>
  <c r="F32" i="21"/>
  <c r="Z32" i="21" s="1"/>
  <c r="AD32" i="21" s="1"/>
  <c r="F75" i="21"/>
  <c r="Z75" i="21" s="1"/>
  <c r="AD75" i="21" s="1"/>
  <c r="F89" i="21"/>
  <c r="Z89" i="21" s="1"/>
  <c r="AD89" i="21" s="1"/>
  <c r="F27" i="21"/>
  <c r="Z27" i="21" s="1"/>
  <c r="AD27" i="21" s="1"/>
  <c r="F38" i="21"/>
  <c r="Z38" i="21" s="1"/>
  <c r="AD38" i="21" s="1"/>
  <c r="F95" i="21"/>
  <c r="Z95" i="21" s="1"/>
  <c r="AD95" i="21" s="1"/>
  <c r="F26" i="21"/>
  <c r="Z26" i="21" s="1"/>
  <c r="AD26" i="21" s="1"/>
  <c r="F84" i="21"/>
  <c r="Z84" i="21" s="1"/>
  <c r="AD84" i="21" s="1"/>
  <c r="F73" i="21"/>
  <c r="Z73" i="21" s="1"/>
  <c r="AD73" i="21" s="1"/>
  <c r="F80" i="21"/>
  <c r="Z80" i="21" s="1"/>
  <c r="AD80" i="21" s="1"/>
  <c r="F68" i="21"/>
  <c r="Z68" i="21" s="1"/>
  <c r="AD68" i="21" s="1"/>
  <c r="F106" i="21"/>
  <c r="Z106" i="21" s="1"/>
  <c r="AD106" i="21" s="1"/>
  <c r="F102" i="21"/>
  <c r="Z102" i="21" s="1"/>
  <c r="F65" i="21"/>
  <c r="Z65" i="21" s="1"/>
  <c r="AD65" i="21" s="1"/>
  <c r="F6" i="21"/>
  <c r="Z6" i="21" s="1"/>
  <c r="AD6" i="21" s="1"/>
  <c r="F51" i="21"/>
  <c r="Z51" i="21" s="1"/>
  <c r="AD51" i="21" s="1"/>
  <c r="F118" i="21"/>
  <c r="Z118" i="21" s="1"/>
  <c r="E44" i="8"/>
  <c r="AG45" i="8" s="1"/>
  <c r="S46" i="8"/>
  <c r="S44" i="8"/>
  <c r="S45" i="8"/>
  <c r="G98" i="21" l="1"/>
  <c r="G37" i="21"/>
  <c r="G31" i="21"/>
  <c r="AA31" i="21" s="1"/>
  <c r="F116" i="21"/>
  <c r="Z116" i="21" s="1"/>
  <c r="G46" i="21"/>
  <c r="F78" i="21"/>
  <c r="Z78" i="21" s="1"/>
  <c r="AD78" i="21" s="1"/>
  <c r="F7" i="21"/>
  <c r="Z7" i="21" s="1"/>
  <c r="AD7" i="21" s="1"/>
  <c r="F5" i="21"/>
  <c r="Z5" i="21" s="1"/>
  <c r="AD5" i="21" s="1"/>
  <c r="F42" i="21"/>
  <c r="Z42" i="21" s="1"/>
  <c r="AD42" i="21" s="1"/>
  <c r="G91" i="21"/>
  <c r="F53" i="21"/>
  <c r="Z53" i="21" s="1"/>
  <c r="AD53" i="21" s="1"/>
  <c r="F74" i="21"/>
  <c r="Z74" i="21" s="1"/>
  <c r="AD74" i="21" s="1"/>
  <c r="G66" i="21"/>
  <c r="F104" i="21"/>
  <c r="Z104" i="21" s="1"/>
  <c r="F12" i="21"/>
  <c r="Z12" i="21" s="1"/>
  <c r="AD12" i="21" s="1"/>
  <c r="G95" i="21"/>
  <c r="F112" i="21"/>
  <c r="Z112" i="21" s="1"/>
  <c r="AD112" i="21" s="1"/>
  <c r="F56" i="21"/>
  <c r="Z56" i="21" s="1"/>
  <c r="AD56" i="21" s="1"/>
  <c r="G60" i="21"/>
  <c r="F10" i="21"/>
  <c r="Z10" i="21" s="1"/>
  <c r="AD10" i="21" s="1"/>
  <c r="G54" i="21"/>
  <c r="G59" i="21"/>
  <c r="F79" i="21"/>
  <c r="Z79" i="21" s="1"/>
  <c r="AD79" i="21" s="1"/>
  <c r="F67" i="21"/>
  <c r="Z67" i="21" s="1"/>
  <c r="AD67" i="21" s="1"/>
  <c r="G71" i="21"/>
  <c r="G4" i="21"/>
  <c r="AA4" i="21" s="1"/>
  <c r="AD4" i="21" s="1"/>
  <c r="G58" i="21"/>
  <c r="G69" i="21"/>
  <c r="G24" i="21"/>
  <c r="G75" i="21"/>
  <c r="G96" i="21"/>
  <c r="G116" i="21"/>
  <c r="G112" i="21"/>
  <c r="G77" i="21"/>
  <c r="G64" i="21"/>
  <c r="G40" i="21"/>
  <c r="G110" i="21"/>
  <c r="G25" i="21"/>
  <c r="G47" i="21"/>
  <c r="G26" i="21"/>
  <c r="G42" i="21"/>
  <c r="G89" i="21"/>
  <c r="G94" i="21"/>
  <c r="G93" i="21"/>
  <c r="G39" i="21"/>
  <c r="AA39" i="21" s="1"/>
  <c r="AD39" i="21" s="1"/>
  <c r="G68" i="21"/>
  <c r="G102" i="21"/>
  <c r="AA102" i="21" s="1"/>
  <c r="AD102" i="21" s="1"/>
  <c r="G11" i="21"/>
  <c r="G106" i="21"/>
  <c r="G67" i="21"/>
  <c r="G86" i="21"/>
  <c r="G53" i="21"/>
  <c r="G117" i="21"/>
  <c r="G17" i="21"/>
  <c r="G90" i="21"/>
  <c r="G73" i="21"/>
  <c r="G41" i="21"/>
  <c r="G14" i="21"/>
  <c r="AA14" i="21" s="1"/>
  <c r="AD14" i="21" s="1"/>
  <c r="AF14" i="21" s="1"/>
  <c r="G70" i="21"/>
  <c r="G57" i="21"/>
  <c r="G63" i="21"/>
  <c r="G49" i="21"/>
  <c r="G103" i="21"/>
  <c r="G62" i="21"/>
  <c r="G36" i="21"/>
  <c r="G33" i="21"/>
  <c r="F40" i="21"/>
  <c r="Z40" i="21" s="1"/>
  <c r="AD40" i="21" s="1"/>
  <c r="G115" i="21"/>
  <c r="AA115" i="21" s="1"/>
  <c r="AD115" i="21" s="1"/>
  <c r="G43" i="21"/>
  <c r="G7" i="21"/>
  <c r="G119" i="21"/>
  <c r="G78" i="21"/>
  <c r="G111" i="21"/>
  <c r="G30" i="21"/>
  <c r="G5" i="21"/>
  <c r="G22" i="21"/>
  <c r="G101" i="21"/>
  <c r="AA101" i="21" s="1"/>
  <c r="AD101" i="21" s="1"/>
  <c r="G80" i="21"/>
  <c r="F71" i="21"/>
  <c r="Z71" i="21" s="1"/>
  <c r="AD71" i="21" s="1"/>
  <c r="F22" i="21"/>
  <c r="Z22" i="21" s="1"/>
  <c r="AD22" i="21" s="1"/>
  <c r="F36" i="21"/>
  <c r="Z36" i="21" s="1"/>
  <c r="AD36" i="21" s="1"/>
  <c r="G79" i="21"/>
  <c r="G104" i="21"/>
  <c r="AA104" i="21" s="1"/>
  <c r="G118" i="21"/>
  <c r="G61" i="21"/>
  <c r="G56" i="21"/>
  <c r="G74" i="21"/>
  <c r="G107" i="21"/>
  <c r="G34" i="21"/>
  <c r="G29" i="21"/>
  <c r="G38" i="21"/>
  <c r="F81" i="21"/>
  <c r="Z81" i="21" s="1"/>
  <c r="AD81" i="21" s="1"/>
  <c r="F66" i="21"/>
  <c r="Z66" i="21" s="1"/>
  <c r="AD66" i="21" s="1"/>
  <c r="F60" i="21"/>
  <c r="Z60" i="21" s="1"/>
  <c r="AD60" i="21" s="1"/>
  <c r="G105" i="21"/>
  <c r="G18" i="21"/>
  <c r="G8" i="21"/>
  <c r="G72" i="21"/>
  <c r="G9" i="21"/>
  <c r="AA9" i="21" s="1"/>
  <c r="AD9" i="21" s="1"/>
  <c r="AF9" i="21" s="1"/>
  <c r="G84" i="21"/>
  <c r="G65" i="21"/>
  <c r="G109" i="21"/>
  <c r="G21" i="21"/>
  <c r="G35" i="21"/>
  <c r="G85" i="21"/>
  <c r="G81" i="21"/>
  <c r="G50" i="21"/>
  <c r="G55" i="21"/>
  <c r="G12" i="21"/>
  <c r="AD31" i="21"/>
  <c r="AC17" i="21"/>
  <c r="Z17" i="21"/>
  <c r="AD17" i="21" s="1"/>
  <c r="G108" i="21"/>
  <c r="G76" i="21"/>
  <c r="G52" i="21"/>
  <c r="G51" i="21"/>
  <c r="G92" i="21"/>
  <c r="G32" i="21"/>
  <c r="G28" i="21"/>
  <c r="AA28" i="21" s="1"/>
  <c r="AD28" i="21" s="1"/>
  <c r="G48" i="21"/>
  <c r="G23" i="21"/>
  <c r="G97" i="21"/>
  <c r="G27" i="21"/>
  <c r="AC80" i="21"/>
  <c r="AC112" i="21"/>
  <c r="AC73" i="21"/>
  <c r="AC8" i="21"/>
  <c r="AC47" i="21"/>
  <c r="AC118" i="21"/>
  <c r="AD118" i="21"/>
  <c r="AC32" i="21"/>
  <c r="AC51" i="21"/>
  <c r="AC84" i="21"/>
  <c r="AC107" i="21"/>
  <c r="AC31" i="21"/>
  <c r="AC37" i="21"/>
  <c r="AC21" i="21"/>
  <c r="AC61" i="21"/>
  <c r="AC75" i="21"/>
  <c r="AC10" i="21"/>
  <c r="AC63" i="21"/>
  <c r="AC115" i="21"/>
  <c r="AC11" i="21"/>
  <c r="AC74" i="21"/>
  <c r="AC49" i="21"/>
  <c r="AC6" i="21"/>
  <c r="AC95" i="21"/>
  <c r="AC41" i="21"/>
  <c r="AC50" i="21"/>
  <c r="AC52" i="21"/>
  <c r="AC102" i="21"/>
  <c r="AC93" i="21"/>
  <c r="AC57" i="21"/>
  <c r="AH46" i="8"/>
  <c r="E45" i="8"/>
  <c r="AC77" i="21"/>
  <c r="AC28" i="21"/>
  <c r="AC39" i="21"/>
  <c r="AC76" i="21"/>
  <c r="AC106" i="21"/>
  <c r="AC119" i="21"/>
  <c r="AD119" i="21"/>
  <c r="AC30" i="21"/>
  <c r="AC54" i="21"/>
  <c r="AC111" i="21"/>
  <c r="AC85" i="21"/>
  <c r="AC26" i="21"/>
  <c r="AC65" i="21"/>
  <c r="AC43" i="21"/>
  <c r="AC38" i="21"/>
  <c r="AC48" i="21"/>
  <c r="AC27" i="21"/>
  <c r="AC101" i="21"/>
  <c r="AC46" i="21"/>
  <c r="AD116" i="21"/>
  <c r="AC116" i="21"/>
  <c r="T44" i="8"/>
  <c r="B44" i="8" s="1"/>
  <c r="AC68" i="21"/>
  <c r="AC89" i="21"/>
  <c r="AC64" i="21"/>
  <c r="AC72" i="21"/>
  <c r="AC55" i="21"/>
  <c r="AC42" i="21"/>
  <c r="AC78" i="21" l="1"/>
  <c r="AC104" i="21"/>
  <c r="AC12" i="21"/>
  <c r="AC53" i="21"/>
  <c r="AD104" i="21"/>
  <c r="AF104" i="21" s="1"/>
  <c r="AC7" i="21"/>
  <c r="AC67" i="21"/>
  <c r="AC5" i="21"/>
  <c r="AC56" i="21"/>
  <c r="AB14" i="21"/>
  <c r="AC79" i="21"/>
  <c r="AC71" i="21"/>
  <c r="AC36" i="21"/>
  <c r="AC66" i="21"/>
  <c r="AC60" i="21"/>
  <c r="AC40" i="21"/>
  <c r="AC81" i="21"/>
  <c r="AB9" i="21"/>
  <c r="AC22" i="21"/>
  <c r="E38" i="9"/>
  <c r="E40" i="9" s="1"/>
  <c r="I19" i="18" s="1"/>
  <c r="AB17" i="21"/>
  <c r="AB8" i="21"/>
  <c r="AB6" i="21"/>
  <c r="AB5" i="21"/>
  <c r="AB12" i="21"/>
  <c r="AB7" i="21"/>
  <c r="AB11" i="21"/>
  <c r="AF11" i="21"/>
  <c r="AB4" i="21"/>
  <c r="AF4" i="21"/>
  <c r="E17" i="9"/>
  <c r="AB10" i="21"/>
  <c r="AG10" i="21"/>
  <c r="D44" i="8"/>
  <c r="O45" i="8" s="1"/>
  <c r="N45" i="8" s="1"/>
  <c r="AB63" i="21"/>
  <c r="AG63" i="21"/>
  <c r="AF63" i="21"/>
  <c r="AF8" i="21"/>
  <c r="AB55" i="21"/>
  <c r="AF55" i="21"/>
  <c r="AG66" i="21"/>
  <c r="AB66" i="21"/>
  <c r="AF66" i="21"/>
  <c r="C44" i="9"/>
  <c r="AG68" i="21"/>
  <c r="AB68" i="21"/>
  <c r="AF68" i="21"/>
  <c r="AB119" i="21"/>
  <c r="AF119" i="21"/>
  <c r="AB71" i="21"/>
  <c r="AF71" i="21"/>
  <c r="AG71" i="21"/>
  <c r="AF32" i="21"/>
  <c r="AB32" i="21"/>
  <c r="AB46" i="21"/>
  <c r="AG46" i="21"/>
  <c r="AF46" i="21"/>
  <c r="AF118" i="21"/>
  <c r="AB118" i="21"/>
  <c r="AB26" i="21"/>
  <c r="AF26" i="21"/>
  <c r="AG46" i="8"/>
  <c r="AF50" i="21"/>
  <c r="AB50" i="21"/>
  <c r="AB41" i="21"/>
  <c r="AF41" i="21"/>
  <c r="AF73" i="21"/>
  <c r="AB73" i="21"/>
  <c r="AF7" i="21"/>
  <c r="AG7" i="21"/>
  <c r="AF48" i="21"/>
  <c r="AB48" i="21"/>
  <c r="AB61" i="21"/>
  <c r="AF61" i="21"/>
  <c r="AB111" i="21"/>
  <c r="AF111" i="21"/>
  <c r="AB39" i="21"/>
  <c r="AF39" i="21"/>
  <c r="AB57" i="21"/>
  <c r="AF57" i="21"/>
  <c r="AF72" i="21"/>
  <c r="AG72" i="21"/>
  <c r="AB72" i="21"/>
  <c r="AB38" i="21"/>
  <c r="AF38" i="21"/>
  <c r="AB85" i="21"/>
  <c r="AF85" i="21"/>
  <c r="AF49" i="21"/>
  <c r="AB49" i="21"/>
  <c r="AB78" i="21"/>
  <c r="AF78" i="21"/>
  <c r="AG75" i="21"/>
  <c r="AB75" i="21"/>
  <c r="AF75" i="21"/>
  <c r="AF21" i="21"/>
  <c r="AB21" i="21"/>
  <c r="AF47" i="21"/>
  <c r="AB47" i="21"/>
  <c r="AG47" i="21"/>
  <c r="AF112" i="21"/>
  <c r="AB112" i="21"/>
  <c r="AB52" i="21"/>
  <c r="AF52" i="21"/>
  <c r="AF12" i="21"/>
  <c r="AB104" i="21"/>
  <c r="AB53" i="21"/>
  <c r="AF53" i="21"/>
  <c r="AB101" i="21"/>
  <c r="AF101" i="21"/>
  <c r="AF54" i="21"/>
  <c r="AB54" i="21"/>
  <c r="AB81" i="21"/>
  <c r="AF81" i="21"/>
  <c r="AF28" i="21"/>
  <c r="AB28" i="21"/>
  <c r="AB93" i="21"/>
  <c r="AF93" i="21"/>
  <c r="AB36" i="21"/>
  <c r="AF36" i="21"/>
  <c r="AF84" i="21"/>
  <c r="AB84" i="21"/>
  <c r="AB65" i="21"/>
  <c r="AG65" i="21"/>
  <c r="AF65" i="21"/>
  <c r="AB77" i="21"/>
  <c r="AF77" i="21"/>
  <c r="AF107" i="21"/>
  <c r="AB107" i="21"/>
  <c r="AB42" i="21"/>
  <c r="AF42" i="21"/>
  <c r="AB79" i="21"/>
  <c r="AF79" i="21"/>
  <c r="AB27" i="21"/>
  <c r="AF27" i="21"/>
  <c r="AF43" i="21"/>
  <c r="AG43" i="21"/>
  <c r="AB43" i="21"/>
  <c r="AF95" i="21"/>
  <c r="AB95" i="21"/>
  <c r="AG74" i="21"/>
  <c r="AB74" i="21"/>
  <c r="AF74" i="21"/>
  <c r="AB115" i="21"/>
  <c r="AF115" i="21"/>
  <c r="AB67" i="21"/>
  <c r="AF67" i="21"/>
  <c r="AB37" i="21"/>
  <c r="AF37" i="21"/>
  <c r="AB51" i="21"/>
  <c r="AF51" i="21"/>
  <c r="AF40" i="21"/>
  <c r="AB40" i="21"/>
  <c r="AF17" i="21"/>
  <c r="AG56" i="21"/>
  <c r="AB56" i="21"/>
  <c r="AF56" i="21"/>
  <c r="AF31" i="21"/>
  <c r="AB31" i="21"/>
  <c r="AB116" i="21"/>
  <c r="AF116" i="21"/>
  <c r="AF10" i="21"/>
  <c r="AF106" i="21"/>
  <c r="AB106" i="21"/>
  <c r="AB64" i="21"/>
  <c r="AF64" i="21"/>
  <c r="AF5" i="21"/>
  <c r="AG5" i="21"/>
  <c r="C43" i="9"/>
  <c r="AF89" i="21"/>
  <c r="AB89" i="21"/>
  <c r="AB30" i="21"/>
  <c r="AF30" i="21"/>
  <c r="AB76" i="21"/>
  <c r="AF76" i="21"/>
  <c r="AB60" i="21"/>
  <c r="AF60" i="21"/>
  <c r="AF102" i="21"/>
  <c r="AB102" i="21"/>
  <c r="AB22" i="21"/>
  <c r="AG22" i="21"/>
  <c r="AF22" i="21"/>
  <c r="AG6" i="21"/>
  <c r="AF6" i="21"/>
  <c r="AF80" i="21"/>
  <c r="AB80" i="21"/>
  <c r="C47" i="9" l="1"/>
  <c r="B20" i="33" s="1"/>
  <c r="M45" i="8"/>
  <c r="H45" i="8"/>
  <c r="U45" i="8" s="1"/>
  <c r="F44" i="8"/>
  <c r="G45" i="8" s="1"/>
  <c r="AL46" i="8" s="1"/>
  <c r="C45" i="9"/>
  <c r="I15" i="18" s="1"/>
  <c r="I16" i="18" s="1"/>
  <c r="P46" i="8"/>
  <c r="Q47" i="8" s="1"/>
  <c r="C15" i="13"/>
  <c r="C50" i="9"/>
  <c r="AH47" i="8"/>
  <c r="D32" i="18"/>
  <c r="L28" i="18" l="1"/>
  <c r="P16" i="18"/>
  <c r="I22" i="18"/>
  <c r="T45" i="8"/>
  <c r="V45" i="8"/>
  <c r="W45" i="8"/>
  <c r="D7" i="9"/>
  <c r="D8" i="9" s="1"/>
  <c r="AI46" i="8"/>
  <c r="AJ46" i="8"/>
  <c r="AM46" i="8"/>
  <c r="AO46" i="8"/>
  <c r="AN46" i="8"/>
  <c r="AK46" i="8"/>
  <c r="D45" i="9"/>
  <c r="C17" i="13"/>
  <c r="C16" i="13"/>
  <c r="R48" i="8"/>
  <c r="S49" i="8" s="1"/>
  <c r="B3" i="1" l="1"/>
  <c r="E42" i="18"/>
  <c r="E44" i="18" s="1"/>
  <c r="I35" i="18"/>
  <c r="J35" i="18"/>
  <c r="J38" i="18"/>
  <c r="I34" i="18"/>
  <c r="J34" i="18"/>
  <c r="I38" i="18"/>
  <c r="I37" i="18"/>
  <c r="J37" i="18"/>
  <c r="I36" i="18"/>
  <c r="J36" i="18"/>
  <c r="J45" i="8"/>
  <c r="K45" i="8" s="1"/>
  <c r="D45" i="8"/>
  <c r="H46" i="8" s="1"/>
  <c r="B45" i="8"/>
  <c r="E46" i="8"/>
  <c r="AG47" i="8" s="1"/>
  <c r="AH48" i="8" s="1"/>
  <c r="D31" i="18"/>
  <c r="I42" i="18" l="1"/>
  <c r="M46" i="8"/>
  <c r="F45" i="8"/>
  <c r="G46" i="8" s="1"/>
  <c r="AO47" i="8" s="1"/>
  <c r="O46" i="8"/>
  <c r="L45" i="8"/>
  <c r="T46" i="8"/>
  <c r="V46" i="8"/>
  <c r="U46" i="8"/>
  <c r="W46" i="8"/>
  <c r="AL47" i="8" l="1"/>
  <c r="AM47" i="8"/>
  <c r="AN47" i="8"/>
  <c r="P47" i="8"/>
  <c r="Q48" i="8" s="1"/>
  <c r="R49" i="8" s="1"/>
  <c r="S50" i="8" s="1"/>
  <c r="N46" i="8"/>
  <c r="B46" i="8" s="1"/>
  <c r="AK47" i="8"/>
  <c r="AI47" i="8"/>
  <c r="AJ47" i="8"/>
  <c r="D46" i="8"/>
  <c r="J46" i="8"/>
  <c r="K46" i="8" l="1"/>
  <c r="E47" i="8"/>
  <c r="AG48" i="8" s="1"/>
  <c r="L46" i="8"/>
  <c r="M47" i="8"/>
  <c r="H47" i="8"/>
  <c r="O47" i="8"/>
  <c r="N47" i="8" s="1"/>
  <c r="F46" i="8"/>
  <c r="G47" i="8" s="1"/>
  <c r="AH49" i="8" l="1"/>
  <c r="AI48" i="8"/>
  <c r="AL48" i="8"/>
  <c r="AN48" i="8"/>
  <c r="AM48" i="8"/>
  <c r="AK48" i="8"/>
  <c r="AJ48" i="8"/>
  <c r="AO48" i="8"/>
  <c r="T47" i="8"/>
  <c r="U47" i="8"/>
  <c r="V47" i="8"/>
  <c r="W47" i="8"/>
  <c r="P48" i="8"/>
  <c r="Q49" i="8" s="1"/>
  <c r="B47" i="8" l="1"/>
  <c r="D47" i="8"/>
  <c r="J47" i="8"/>
  <c r="K47" i="8" s="1"/>
  <c r="R50" i="8"/>
  <c r="S51" i="8" s="1"/>
  <c r="E48" i="8"/>
  <c r="AG49" i="8" l="1"/>
  <c r="L47" i="8"/>
  <c r="M48" i="8"/>
  <c r="H48" i="8"/>
  <c r="O48" i="8"/>
  <c r="N48" i="8" s="1"/>
  <c r="F47" i="8"/>
  <c r="G48" i="8" s="1"/>
  <c r="T48" i="8" l="1"/>
  <c r="V48" i="8"/>
  <c r="U48" i="8"/>
  <c r="W48" i="8"/>
  <c r="AI49" i="8"/>
  <c r="AM49" i="8"/>
  <c r="AJ49" i="8"/>
  <c r="AO49" i="8"/>
  <c r="AN49" i="8"/>
  <c r="AK49" i="8"/>
  <c r="AL49" i="8"/>
  <c r="P49" i="8"/>
  <c r="Q50" i="8" s="1"/>
  <c r="AH50" i="8"/>
  <c r="B48" i="8" l="1"/>
  <c r="R51" i="8"/>
  <c r="S52" i="8" s="1"/>
  <c r="D48" i="8"/>
  <c r="J48" i="8"/>
  <c r="K48" i="8" s="1"/>
  <c r="E49" i="8"/>
  <c r="M49" i="8" l="1"/>
  <c r="H49" i="8"/>
  <c r="L48" i="8"/>
  <c r="O49" i="8"/>
  <c r="N49" i="8" s="1"/>
  <c r="F48" i="8"/>
  <c r="G49" i="8" s="1"/>
  <c r="AG50" i="8"/>
  <c r="P50" i="8" l="1"/>
  <c r="Q51" i="8" s="1"/>
  <c r="T49" i="8"/>
  <c r="V49" i="8"/>
  <c r="W49" i="8"/>
  <c r="U49" i="8"/>
  <c r="AH51" i="8"/>
  <c r="AI50" i="8"/>
  <c r="AN50" i="8"/>
  <c r="AM50" i="8"/>
  <c r="AL50" i="8"/>
  <c r="AO50" i="8"/>
  <c r="AJ50" i="8"/>
  <c r="AK50" i="8"/>
  <c r="B49" i="8" l="1"/>
  <c r="E50" i="8"/>
  <c r="R52" i="8"/>
  <c r="S53" i="8" s="1"/>
  <c r="D49" i="8"/>
  <c r="J49" i="8"/>
  <c r="K49" i="8" s="1"/>
  <c r="H50" i="8" l="1"/>
  <c r="L49" i="8"/>
  <c r="M50" i="8"/>
  <c r="O50" i="8"/>
  <c r="N50" i="8" s="1"/>
  <c r="F49" i="8"/>
  <c r="G50" i="8" s="1"/>
  <c r="AG51" i="8"/>
  <c r="AI51" i="8" l="1"/>
  <c r="AM51" i="8"/>
  <c r="AN51" i="8"/>
  <c r="AJ51" i="8"/>
  <c r="AL51" i="8"/>
  <c r="AO51" i="8"/>
  <c r="AK51" i="8"/>
  <c r="P51" i="8"/>
  <c r="Q52" i="8" s="1"/>
  <c r="AH52" i="8"/>
  <c r="T50" i="8"/>
  <c r="V50" i="8"/>
  <c r="W50" i="8"/>
  <c r="U50" i="8"/>
  <c r="E51" i="8" l="1"/>
  <c r="R53" i="8"/>
  <c r="S54" i="8" s="1"/>
  <c r="D50" i="8"/>
  <c r="J50" i="8"/>
  <c r="K50" i="8" s="1"/>
  <c r="B50" i="8"/>
  <c r="L50" i="8" l="1"/>
  <c r="H51" i="8"/>
  <c r="M51" i="8"/>
  <c r="O51" i="8"/>
  <c r="N51" i="8" s="1"/>
  <c r="F50" i="8"/>
  <c r="G51" i="8" s="1"/>
  <c r="AG52" i="8"/>
  <c r="P52" i="8" l="1"/>
  <c r="Q53" i="8" s="1"/>
  <c r="AH53" i="8"/>
  <c r="AI52" i="8"/>
  <c r="AL52" i="8"/>
  <c r="AO52" i="8"/>
  <c r="AJ52" i="8"/>
  <c r="AK52" i="8"/>
  <c r="AM52" i="8"/>
  <c r="AN52" i="8"/>
  <c r="T51" i="8"/>
  <c r="W51" i="8"/>
  <c r="U51" i="8"/>
  <c r="V51" i="8"/>
  <c r="B51" i="8" l="1"/>
  <c r="R54" i="8"/>
  <c r="S55" i="8" s="1"/>
  <c r="D51" i="8"/>
  <c r="J51" i="8"/>
  <c r="K51" i="8" s="1"/>
  <c r="E52" i="8"/>
  <c r="AG53" i="8" l="1"/>
  <c r="H52" i="8"/>
  <c r="L51" i="8"/>
  <c r="M52" i="8"/>
  <c r="O52" i="8"/>
  <c r="N52" i="8" s="1"/>
  <c r="F51" i="8"/>
  <c r="G52" i="8" s="1"/>
  <c r="T52" i="8" l="1"/>
  <c r="U52" i="8"/>
  <c r="W52" i="8"/>
  <c r="V52" i="8"/>
  <c r="P53" i="8"/>
  <c r="Q54" i="8" s="1"/>
  <c r="AI53" i="8"/>
  <c r="AK53" i="8"/>
  <c r="AO53" i="8"/>
  <c r="AN53" i="8"/>
  <c r="AL53" i="8"/>
  <c r="AJ53" i="8"/>
  <c r="AM53" i="8"/>
  <c r="AH54" i="8"/>
  <c r="B52" i="8" l="1"/>
  <c r="D7" i="24"/>
  <c r="E53" i="8"/>
  <c r="R55" i="8"/>
  <c r="S56" i="8" s="1"/>
  <c r="D52" i="8"/>
  <c r="J52" i="8"/>
  <c r="K52" i="8" s="1"/>
  <c r="AG54" i="8" l="1"/>
  <c r="L52" i="8"/>
  <c r="H53" i="8"/>
  <c r="M53" i="8"/>
  <c r="O53" i="8"/>
  <c r="F52" i="8"/>
  <c r="G53" i="8" s="1"/>
  <c r="T53" i="8" l="1"/>
  <c r="W53" i="8"/>
  <c r="V53" i="8"/>
  <c r="U53" i="8"/>
  <c r="AH55" i="8"/>
  <c r="D8" i="24"/>
  <c r="AI54" i="8"/>
  <c r="AK54" i="8"/>
  <c r="AO54" i="8"/>
  <c r="AJ54" i="8"/>
  <c r="AL54" i="8"/>
  <c r="AN54" i="8"/>
  <c r="AM54" i="8"/>
  <c r="D6" i="24"/>
  <c r="P54" i="8"/>
  <c r="Q55" i="8" s="1"/>
  <c r="N53" i="8"/>
  <c r="B53" i="8" l="1"/>
  <c r="E54" i="8"/>
  <c r="AG55" i="8" s="1"/>
  <c r="D9" i="24"/>
  <c r="D5" i="24"/>
  <c r="R56" i="8"/>
  <c r="S57" i="8" s="1"/>
  <c r="D53" i="8"/>
  <c r="J53" i="8"/>
  <c r="K53" i="8" s="1"/>
  <c r="L53" i="8" l="1"/>
  <c r="H54" i="8"/>
  <c r="M54" i="8"/>
  <c r="O54" i="8"/>
  <c r="N54" i="8" s="1"/>
  <c r="F53" i="8"/>
  <c r="G54" i="8" s="1"/>
  <c r="AH56" i="8"/>
  <c r="AI55" i="8" l="1"/>
  <c r="AL55" i="8"/>
  <c r="AK55" i="8"/>
  <c r="AM55" i="8"/>
  <c r="AN55" i="8"/>
  <c r="AO55" i="8"/>
  <c r="AJ55" i="8"/>
  <c r="J128" i="21"/>
  <c r="G128" i="21" s="1"/>
  <c r="G126" i="21" s="1"/>
  <c r="S126" i="21" s="1"/>
  <c r="Q126" i="21" s="1"/>
  <c r="P55" i="8"/>
  <c r="Q56" i="8" s="1"/>
  <c r="T54" i="8"/>
  <c r="U54" i="8"/>
  <c r="W54" i="8"/>
  <c r="V54" i="8"/>
  <c r="D26" i="13" l="1"/>
  <c r="B54" i="8"/>
  <c r="R57" i="8"/>
  <c r="S58" i="8" s="1"/>
  <c r="E55" i="8"/>
  <c r="B4" i="1"/>
  <c r="D54" i="8"/>
  <c r="J54" i="8"/>
  <c r="K54" i="8" s="1"/>
  <c r="D28" i="13" l="1"/>
  <c r="D27" i="13"/>
  <c r="AG56" i="8"/>
  <c r="L54" i="8"/>
  <c r="H55" i="8"/>
  <c r="M55" i="8"/>
  <c r="O55" i="8"/>
  <c r="N55" i="8" s="1"/>
  <c r="F54" i="8"/>
  <c r="G55" i="8" s="1"/>
  <c r="AI56" i="8" l="1"/>
  <c r="AJ56" i="8"/>
  <c r="AK56" i="8"/>
  <c r="AO56" i="8"/>
  <c r="AN56" i="8"/>
  <c r="AM56" i="8"/>
  <c r="AL56" i="8"/>
  <c r="T55" i="8"/>
  <c r="U55" i="8"/>
  <c r="V55" i="8"/>
  <c r="W55" i="8"/>
  <c r="AH57" i="8"/>
  <c r="P56" i="8"/>
  <c r="Q57" i="8" s="1"/>
  <c r="B55" i="8" l="1"/>
  <c r="E56" i="8"/>
  <c r="R58" i="8"/>
  <c r="S59" i="8" s="1"/>
  <c r="D55" i="8"/>
  <c r="J55" i="8"/>
  <c r="K55" i="8" s="1"/>
  <c r="L55" i="8" l="1"/>
  <c r="H56" i="8"/>
  <c r="M56" i="8"/>
  <c r="O56" i="8"/>
  <c r="N56" i="8" s="1"/>
  <c r="F55" i="8"/>
  <c r="G56" i="8" s="1"/>
  <c r="D31" i="24"/>
  <c r="F31" i="24"/>
  <c r="AG57" i="8"/>
  <c r="D33" i="24"/>
  <c r="E33" i="24" s="1"/>
  <c r="F33" i="24"/>
  <c r="G33" i="24" s="1"/>
  <c r="E31" i="24" l="1"/>
  <c r="D32" i="24"/>
  <c r="E32" i="24" s="1"/>
  <c r="G31" i="24"/>
  <c r="F32" i="24"/>
  <c r="G32" i="24" s="1"/>
  <c r="T56" i="8"/>
  <c r="W56" i="8"/>
  <c r="V56" i="8"/>
  <c r="U56" i="8"/>
  <c r="AI57" i="8"/>
  <c r="AJ57" i="8"/>
  <c r="AL57" i="8"/>
  <c r="AO57" i="8"/>
  <c r="AM57" i="8"/>
  <c r="AN57" i="8"/>
  <c r="AK57" i="8"/>
  <c r="AH58" i="8"/>
  <c r="P57" i="8"/>
  <c r="Q58" i="8" s="1"/>
  <c r="D31" i="27"/>
  <c r="F34" i="24" l="1"/>
  <c r="G34" i="24" s="1"/>
  <c r="F35" i="24"/>
  <c r="G35" i="24" s="1"/>
  <c r="B56" i="8"/>
  <c r="R59" i="8"/>
  <c r="S60" i="8" s="1"/>
  <c r="E57" i="8"/>
  <c r="D34" i="24"/>
  <c r="D56" i="8"/>
  <c r="J56" i="8"/>
  <c r="K56" i="8" s="1"/>
  <c r="AG58" i="8" l="1"/>
  <c r="H57" i="8"/>
  <c r="L56" i="8"/>
  <c r="M57" i="8"/>
  <c r="O57" i="8"/>
  <c r="N57" i="8" s="1"/>
  <c r="F56" i="8"/>
  <c r="G57" i="8" s="1"/>
  <c r="E34" i="24"/>
  <c r="D35" i="24"/>
  <c r="E35" i="24" s="1"/>
  <c r="F30" i="24"/>
  <c r="F11" i="24" s="1"/>
  <c r="F38" i="24" l="1"/>
  <c r="AH59" i="8"/>
  <c r="P58" i="8"/>
  <c r="Q59" i="8" s="1"/>
  <c r="AI58" i="8"/>
  <c r="AL58" i="8"/>
  <c r="AJ58" i="8"/>
  <c r="AN58" i="8"/>
  <c r="AO58" i="8"/>
  <c r="AK58" i="8"/>
  <c r="AM58" i="8"/>
  <c r="T57" i="8"/>
  <c r="W57" i="8"/>
  <c r="U57" i="8"/>
  <c r="V57" i="8"/>
  <c r="D30" i="24"/>
  <c r="D11" i="24" s="1"/>
  <c r="E9" i="24" s="1"/>
  <c r="E58" i="8" l="1"/>
  <c r="AG59" i="8" s="1"/>
  <c r="H3" i="24"/>
  <c r="F42" i="24"/>
  <c r="G42" i="24" s="1"/>
  <c r="F43" i="24"/>
  <c r="G43" i="24" s="1"/>
  <c r="F44" i="24"/>
  <c r="G44" i="24" s="1"/>
  <c r="F39" i="24"/>
  <c r="F41" i="24"/>
  <c r="G41" i="24" s="1"/>
  <c r="F40" i="24"/>
  <c r="G40" i="24" s="1"/>
  <c r="D57" i="8"/>
  <c r="J57" i="8"/>
  <c r="K57" i="8" s="1"/>
  <c r="B57" i="8"/>
  <c r="R60" i="8"/>
  <c r="S61" i="8" s="1"/>
  <c r="F37" i="24" l="1"/>
  <c r="G39" i="24"/>
  <c r="G38" i="24" s="1"/>
  <c r="F12" i="24" s="1"/>
  <c r="G9" i="24" s="1"/>
  <c r="H58" i="8"/>
  <c r="L57" i="8"/>
  <c r="M58" i="8"/>
  <c r="O58" i="8"/>
  <c r="N58" i="8" s="1"/>
  <c r="F57" i="8"/>
  <c r="G58" i="8" s="1"/>
  <c r="AH60" i="8"/>
  <c r="P59" i="8" l="1"/>
  <c r="Q60" i="8" s="1"/>
  <c r="AI59" i="8"/>
  <c r="AO59" i="8"/>
  <c r="AN59" i="8"/>
  <c r="AJ59" i="8"/>
  <c r="AL59" i="8"/>
  <c r="AK59" i="8"/>
  <c r="AM59" i="8"/>
  <c r="T58" i="8"/>
  <c r="W58" i="8"/>
  <c r="V58" i="8"/>
  <c r="U58" i="8"/>
  <c r="D58" i="8" l="1"/>
  <c r="J58" i="8"/>
  <c r="K58" i="8" s="1"/>
  <c r="R61" i="8"/>
  <c r="S62" i="8" s="1"/>
  <c r="E59" i="8"/>
  <c r="B58" i="8"/>
  <c r="AG60" i="8" l="1"/>
  <c r="D26" i="8"/>
  <c r="D27" i="8"/>
  <c r="L58" i="8"/>
  <c r="H59" i="8"/>
  <c r="M59" i="8"/>
  <c r="O59" i="8"/>
  <c r="N59" i="8" s="1"/>
  <c r="F58" i="8"/>
  <c r="G59" i="8" s="1"/>
  <c r="AI60" i="8" l="1"/>
  <c r="AK60" i="8"/>
  <c r="AL60" i="8"/>
  <c r="AO60" i="8"/>
  <c r="AJ60" i="8"/>
  <c r="AN60" i="8"/>
  <c r="AM60" i="8"/>
  <c r="P60" i="8"/>
  <c r="Q61" i="8" s="1"/>
  <c r="AH61" i="8"/>
  <c r="T59" i="8"/>
  <c r="W59" i="8"/>
  <c r="V59" i="8"/>
  <c r="U59" i="8"/>
  <c r="E60" i="8" l="1"/>
  <c r="AG61" i="8" s="1"/>
  <c r="B59" i="8"/>
  <c r="R62" i="8"/>
  <c r="S63" i="8" s="1"/>
  <c r="D59" i="8"/>
  <c r="J59" i="8"/>
  <c r="K59" i="8" s="1"/>
  <c r="AH62" i="8" l="1"/>
  <c r="H60" i="8"/>
  <c r="L59" i="8"/>
  <c r="M60" i="8"/>
  <c r="O60" i="8"/>
  <c r="N60" i="8" s="1"/>
  <c r="F59" i="8"/>
  <c r="G60" i="8" s="1"/>
  <c r="AI61" i="8" l="1"/>
  <c r="AM61" i="8"/>
  <c r="AL61" i="8"/>
  <c r="AN61" i="8"/>
  <c r="AO61" i="8"/>
  <c r="AK61" i="8"/>
  <c r="AJ61" i="8"/>
  <c r="P61" i="8"/>
  <c r="Q62" i="8" s="1"/>
  <c r="T60" i="8"/>
  <c r="U60" i="8"/>
  <c r="V60" i="8"/>
  <c r="W60" i="8"/>
  <c r="D60" i="8" l="1"/>
  <c r="J60" i="8"/>
  <c r="K60" i="8" s="1"/>
  <c r="B60" i="8"/>
  <c r="R63" i="8"/>
  <c r="S64" i="8" s="1"/>
  <c r="E61" i="8"/>
  <c r="AG62" i="8" l="1"/>
  <c r="M61" i="8"/>
  <c r="L60" i="8"/>
  <c r="H61" i="8"/>
  <c r="O61" i="8"/>
  <c r="N61" i="8" s="1"/>
  <c r="F60" i="8"/>
  <c r="G61" i="8" s="1"/>
  <c r="AH63" i="8" l="1"/>
  <c r="T61" i="8"/>
  <c r="U61" i="8"/>
  <c r="W61" i="8"/>
  <c r="V61" i="8"/>
  <c r="AI62" i="8"/>
  <c r="AN62" i="8"/>
  <c r="AJ62" i="8"/>
  <c r="AK62" i="8"/>
  <c r="AO62" i="8"/>
  <c r="AL62" i="8"/>
  <c r="AM62" i="8"/>
  <c r="P62" i="8"/>
  <c r="Q63" i="8" s="1"/>
  <c r="E62" i="8" l="1"/>
  <c r="AG63" i="8" s="1"/>
  <c r="D61" i="8"/>
  <c r="J61" i="8"/>
  <c r="K61" i="8" s="1"/>
  <c r="B61" i="8"/>
  <c r="R64" i="8"/>
  <c r="S65" i="8" s="1"/>
  <c r="AH64" i="8" l="1"/>
  <c r="M62" i="8"/>
  <c r="L61" i="8"/>
  <c r="H62" i="8"/>
  <c r="O62" i="8"/>
  <c r="N62" i="8" s="1"/>
  <c r="F61" i="8"/>
  <c r="G62" i="8" s="1"/>
  <c r="AI63" i="8" l="1"/>
  <c r="AN63" i="8"/>
  <c r="AJ63" i="8"/>
  <c r="AK63" i="8"/>
  <c r="AL63" i="8"/>
  <c r="AO63" i="8"/>
  <c r="AM63" i="8"/>
  <c r="T62" i="8"/>
  <c r="V62" i="8"/>
  <c r="U62" i="8"/>
  <c r="W62" i="8"/>
  <c r="P63" i="8"/>
  <c r="Q64" i="8" s="1"/>
  <c r="D62" i="8" l="1"/>
  <c r="J62" i="8"/>
  <c r="K62" i="8" s="1"/>
  <c r="E63" i="8"/>
  <c r="B62" i="8"/>
  <c r="R65" i="8"/>
  <c r="S66" i="8" s="1"/>
  <c r="L62" i="8" l="1"/>
  <c r="H63" i="8"/>
  <c r="M63" i="8"/>
  <c r="O63" i="8"/>
  <c r="N63" i="8" s="1"/>
  <c r="F62" i="8"/>
  <c r="G63" i="8" s="1"/>
  <c r="AG64" i="8"/>
  <c r="P64" i="8" l="1"/>
  <c r="Q65" i="8" s="1"/>
  <c r="AH65" i="8"/>
  <c r="AI64" i="8"/>
  <c r="AJ64" i="8"/>
  <c r="AO64" i="8"/>
  <c r="AM64" i="8"/>
  <c r="AL64" i="8"/>
  <c r="AK64" i="8"/>
  <c r="AN64" i="8"/>
  <c r="T63" i="8"/>
  <c r="V63" i="8"/>
  <c r="W63" i="8"/>
  <c r="U63" i="8"/>
  <c r="E64" i="8" l="1"/>
  <c r="AG65" i="8" s="1"/>
  <c r="B63" i="8"/>
  <c r="R66" i="8"/>
  <c r="S67" i="8" s="1"/>
  <c r="D63" i="8"/>
  <c r="J63" i="8"/>
  <c r="K63" i="8" s="1"/>
  <c r="AH66" i="8" l="1"/>
  <c r="H64" i="8"/>
  <c r="M64" i="8"/>
  <c r="L63" i="8"/>
  <c r="O64" i="8"/>
  <c r="N64" i="8" s="1"/>
  <c r="F63" i="8"/>
  <c r="G64" i="8" s="1"/>
  <c r="P65" i="8" l="1"/>
  <c r="Q66" i="8" s="1"/>
  <c r="T64" i="8"/>
  <c r="V64" i="8"/>
  <c r="U64" i="8"/>
  <c r="W64" i="8"/>
  <c r="AI65" i="8"/>
  <c r="AO65" i="8"/>
  <c r="AJ65" i="8"/>
  <c r="AM65" i="8"/>
  <c r="AL65" i="8"/>
  <c r="AN65" i="8"/>
  <c r="AK65" i="8"/>
  <c r="D64" i="8" l="1"/>
  <c r="J64" i="8"/>
  <c r="K64" i="8" s="1"/>
  <c r="B64" i="8"/>
  <c r="R67" i="8"/>
  <c r="S68" i="8" s="1"/>
  <c r="E65" i="8"/>
  <c r="AG66" i="8" l="1"/>
  <c r="H65" i="8"/>
  <c r="L64" i="8"/>
  <c r="M65" i="8"/>
  <c r="O65" i="8"/>
  <c r="N65" i="8" s="1"/>
  <c r="F64" i="8"/>
  <c r="G65" i="8" s="1"/>
  <c r="AH67" i="8" l="1"/>
  <c r="T65" i="8"/>
  <c r="U65" i="8"/>
  <c r="W65" i="8"/>
  <c r="V65" i="8"/>
  <c r="AI66" i="8"/>
  <c r="AM66" i="8"/>
  <c r="AK66" i="8"/>
  <c r="AN66" i="8"/>
  <c r="AL66" i="8"/>
  <c r="AO66" i="8"/>
  <c r="AJ66" i="8"/>
  <c r="P66" i="8"/>
  <c r="Q67" i="8" s="1"/>
  <c r="E66" i="8" l="1"/>
  <c r="AG67" i="8" s="1"/>
  <c r="B65" i="8"/>
  <c r="D65" i="8"/>
  <c r="J65" i="8"/>
  <c r="K65" i="8" s="1"/>
  <c r="R68" i="8"/>
  <c r="S69" i="8" s="1"/>
  <c r="L65" i="8" l="1"/>
  <c r="M66" i="8"/>
  <c r="H66" i="8"/>
  <c r="O66" i="8"/>
  <c r="N66" i="8" s="1"/>
  <c r="F65" i="8"/>
  <c r="G66" i="8" s="1"/>
  <c r="AH68" i="8"/>
  <c r="AI67" i="8" l="1"/>
  <c r="AK67" i="8"/>
  <c r="AN67" i="8"/>
  <c r="AO67" i="8"/>
  <c r="AJ67" i="8"/>
  <c r="AL67" i="8"/>
  <c r="AM67" i="8"/>
  <c r="P67" i="8"/>
  <c r="Q68" i="8" s="1"/>
  <c r="T66" i="8"/>
  <c r="W66" i="8"/>
  <c r="V66" i="8"/>
  <c r="U66" i="8"/>
  <c r="D66" i="8" l="1"/>
  <c r="J66" i="8"/>
  <c r="K66" i="8" s="1"/>
  <c r="E67" i="8"/>
  <c r="B66" i="8"/>
  <c r="R69" i="8"/>
  <c r="S70" i="8" s="1"/>
  <c r="AG68" i="8" l="1"/>
  <c r="L66" i="8"/>
  <c r="H67" i="8"/>
  <c r="M67" i="8"/>
  <c r="O67" i="8"/>
  <c r="N67" i="8" s="1"/>
  <c r="F66" i="8"/>
  <c r="G67" i="8" s="1"/>
  <c r="AI68" i="8" l="1"/>
  <c r="AM68" i="8"/>
  <c r="AL68" i="8"/>
  <c r="AN68" i="8"/>
  <c r="AO68" i="8"/>
  <c r="AJ68" i="8"/>
  <c r="AK68" i="8"/>
  <c r="T67" i="8"/>
  <c r="V67" i="8"/>
  <c r="U67" i="8"/>
  <c r="W67" i="8"/>
  <c r="AH69" i="8"/>
  <c r="P68" i="8"/>
  <c r="Q69" i="8" s="1"/>
  <c r="B67" i="8" l="1"/>
  <c r="E68" i="8"/>
  <c r="AG69" i="8" s="1"/>
  <c r="R70" i="8"/>
  <c r="S71" i="8" s="1"/>
  <c r="D67" i="8"/>
  <c r="J67" i="8"/>
  <c r="K67" i="8" s="1"/>
  <c r="AH70" i="8" l="1"/>
  <c r="M68" i="8"/>
  <c r="L67" i="8"/>
  <c r="H68" i="8"/>
  <c r="O68" i="8"/>
  <c r="N68" i="8" s="1"/>
  <c r="F67" i="8"/>
  <c r="G68" i="8" s="1"/>
  <c r="T68" i="8" l="1"/>
  <c r="U68" i="8"/>
  <c r="V68" i="8"/>
  <c r="W68" i="8"/>
  <c r="AI69" i="8"/>
  <c r="AK69" i="8"/>
  <c r="AO69" i="8"/>
  <c r="AJ69" i="8"/>
  <c r="AM69" i="8"/>
  <c r="AN69" i="8"/>
  <c r="AL69" i="8"/>
  <c r="P69" i="8"/>
  <c r="Q70" i="8" s="1"/>
  <c r="D68" i="8" l="1"/>
  <c r="J68" i="8"/>
  <c r="K68" i="8" s="1"/>
  <c r="R71" i="8"/>
  <c r="S72" i="8" s="1"/>
  <c r="E69" i="8"/>
  <c r="B68" i="8"/>
  <c r="AG70" i="8" l="1"/>
  <c r="L68" i="8"/>
  <c r="M69" i="8"/>
  <c r="H69" i="8"/>
  <c r="O69" i="8"/>
  <c r="N69" i="8" s="1"/>
  <c r="F68" i="8"/>
  <c r="G69" i="8" s="1"/>
  <c r="P70" i="8" l="1"/>
  <c r="Q71" i="8" s="1"/>
  <c r="AH71" i="8"/>
  <c r="AI70" i="8"/>
  <c r="AN70" i="8"/>
  <c r="AJ70" i="8"/>
  <c r="AK70" i="8"/>
  <c r="AL70" i="8"/>
  <c r="AM70" i="8"/>
  <c r="AO70" i="8"/>
  <c r="T69" i="8"/>
  <c r="W69" i="8"/>
  <c r="V69" i="8"/>
  <c r="U69" i="8"/>
  <c r="D69" i="8" l="1"/>
  <c r="J69" i="8"/>
  <c r="K69" i="8" s="1"/>
  <c r="E70" i="8"/>
  <c r="B69" i="8"/>
  <c r="R72" i="8"/>
  <c r="S73" i="8" s="1"/>
  <c r="L69" i="8" l="1"/>
  <c r="H70" i="8"/>
  <c r="M70" i="8"/>
  <c r="O70" i="8"/>
  <c r="N70" i="8" s="1"/>
  <c r="F69" i="8"/>
  <c r="G70" i="8" s="1"/>
  <c r="AG71" i="8"/>
  <c r="T70" i="8" l="1"/>
  <c r="U70" i="8"/>
  <c r="V70" i="8"/>
  <c r="W70" i="8"/>
  <c r="AH72" i="8"/>
  <c r="P71" i="8"/>
  <c r="Q72" i="8" s="1"/>
  <c r="AI71" i="8"/>
  <c r="AK71" i="8"/>
  <c r="AM71" i="8"/>
  <c r="AO71" i="8"/>
  <c r="AN71" i="8"/>
  <c r="AL71" i="8"/>
  <c r="AJ71" i="8"/>
  <c r="B70" i="8" l="1"/>
  <c r="D70" i="8"/>
  <c r="J70" i="8"/>
  <c r="K70" i="8" s="1"/>
  <c r="E71" i="8"/>
  <c r="R73" i="8"/>
  <c r="S74" i="8" s="1"/>
  <c r="AG72" i="8" l="1"/>
  <c r="H71" i="8"/>
  <c r="L70" i="8"/>
  <c r="M71" i="8"/>
  <c r="O71" i="8"/>
  <c r="N71" i="8" s="1"/>
  <c r="F70" i="8"/>
  <c r="G71" i="8" s="1"/>
  <c r="T71" i="8" l="1"/>
  <c r="W71" i="8"/>
  <c r="U71" i="8"/>
  <c r="V71" i="8"/>
  <c r="AH73" i="8"/>
  <c r="AI72" i="8"/>
  <c r="AK72" i="8"/>
  <c r="AM72" i="8"/>
  <c r="AL72" i="8"/>
  <c r="AN72" i="8"/>
  <c r="AJ72" i="8"/>
  <c r="AO72" i="8"/>
  <c r="P72" i="8"/>
  <c r="Q73" i="8" s="1"/>
  <c r="B71" i="8" l="1"/>
  <c r="E72" i="8"/>
  <c r="AG73" i="8" s="1"/>
  <c r="D71" i="8"/>
  <c r="J71" i="8"/>
  <c r="K71" i="8" s="1"/>
  <c r="R74" i="8"/>
  <c r="S75" i="8" s="1"/>
  <c r="AH74" i="8" l="1"/>
  <c r="M72" i="8"/>
  <c r="H72" i="8"/>
  <c r="L71" i="8"/>
  <c r="O72" i="8"/>
  <c r="N72" i="8" s="1"/>
  <c r="F71" i="8"/>
  <c r="G72" i="8" s="1"/>
  <c r="P73" i="8" l="1"/>
  <c r="Q74" i="8" s="1"/>
  <c r="T72" i="8"/>
  <c r="V72" i="8"/>
  <c r="U72" i="8"/>
  <c r="W72" i="8"/>
  <c r="AI73" i="8"/>
  <c r="AN73" i="8"/>
  <c r="AK73" i="8"/>
  <c r="AO73" i="8"/>
  <c r="AJ73" i="8"/>
  <c r="AM73" i="8"/>
  <c r="AL73" i="8"/>
  <c r="E73" i="8" l="1"/>
  <c r="B72" i="8"/>
  <c r="D72" i="8"/>
  <c r="J72" i="8"/>
  <c r="K72" i="8" s="1"/>
  <c r="R75" i="8"/>
  <c r="S76" i="8" s="1"/>
  <c r="AG74" i="8" l="1"/>
  <c r="L72" i="8"/>
  <c r="H73" i="8"/>
  <c r="M73" i="8"/>
  <c r="O73" i="8"/>
  <c r="N73" i="8" s="1"/>
  <c r="F72" i="8"/>
  <c r="G73" i="8" s="1"/>
  <c r="AH75" i="8" l="1"/>
  <c r="AI74" i="8"/>
  <c r="AN74" i="8"/>
  <c r="AK74" i="8"/>
  <c r="AL74" i="8"/>
  <c r="AO74" i="8"/>
  <c r="AM74" i="8"/>
  <c r="AJ74" i="8"/>
  <c r="P74" i="8"/>
  <c r="Q75" i="8" s="1"/>
  <c r="T73" i="8"/>
  <c r="U73" i="8"/>
  <c r="W73" i="8"/>
  <c r="V73" i="8"/>
  <c r="B73" i="8" l="1"/>
  <c r="D73" i="8"/>
  <c r="J73" i="8"/>
  <c r="K73" i="8" s="1"/>
  <c r="R76" i="8"/>
  <c r="S77" i="8" s="1"/>
  <c r="E74" i="8"/>
  <c r="AG75" i="8" l="1"/>
  <c r="L73" i="8"/>
  <c r="M74" i="8"/>
  <c r="H74" i="8"/>
  <c r="O74" i="8"/>
  <c r="N74" i="8" s="1"/>
  <c r="F73" i="8"/>
  <c r="G74" i="8" s="1"/>
  <c r="AH76" i="8" l="1"/>
  <c r="AI75" i="8"/>
  <c r="AO75" i="8"/>
  <c r="AM75" i="8"/>
  <c r="AK75" i="8"/>
  <c r="AJ75" i="8"/>
  <c r="AL75" i="8"/>
  <c r="AN75" i="8"/>
  <c r="P75" i="8"/>
  <c r="Q76" i="8" s="1"/>
  <c r="T74" i="8"/>
  <c r="U74" i="8"/>
  <c r="V74" i="8"/>
  <c r="W74" i="8"/>
  <c r="B74" i="8" l="1"/>
  <c r="R77" i="8"/>
  <c r="S78" i="8" s="1"/>
  <c r="E75" i="8"/>
  <c r="D74" i="8"/>
  <c r="J74" i="8"/>
  <c r="K74" i="8" s="1"/>
  <c r="AG76" i="8" l="1"/>
  <c r="L74" i="8"/>
  <c r="H75" i="8"/>
  <c r="M75" i="8"/>
  <c r="O75" i="8"/>
  <c r="N75" i="8" s="1"/>
  <c r="F74" i="8"/>
  <c r="G75" i="8" s="1"/>
  <c r="AH77" i="8" l="1"/>
  <c r="AI76" i="8"/>
  <c r="AM76" i="8"/>
  <c r="AN76" i="8"/>
  <c r="AO76" i="8"/>
  <c r="AJ76" i="8"/>
  <c r="AL76" i="8"/>
  <c r="AK76" i="8"/>
  <c r="P76" i="8"/>
  <c r="Q77" i="8" s="1"/>
  <c r="T75" i="8"/>
  <c r="W75" i="8"/>
  <c r="V75" i="8"/>
  <c r="U75" i="8"/>
  <c r="E76" i="8" l="1"/>
  <c r="AG77" i="8" s="1"/>
  <c r="R78" i="8"/>
  <c r="S79" i="8" s="1"/>
  <c r="D75" i="8"/>
  <c r="J75" i="8"/>
  <c r="K75" i="8" s="1"/>
  <c r="B75" i="8"/>
  <c r="D28" i="8" s="1"/>
  <c r="AH78" i="8" l="1"/>
  <c r="H76" i="8"/>
  <c r="L75" i="8"/>
  <c r="M76" i="8"/>
  <c r="O76" i="8"/>
  <c r="N76" i="8" s="1"/>
  <c r="F75" i="8"/>
  <c r="G76" i="8" s="1"/>
  <c r="AI77" i="8" l="1"/>
  <c r="AJ77" i="8"/>
  <c r="AK77" i="8"/>
  <c r="AO77" i="8"/>
  <c r="AN77" i="8"/>
  <c r="AL77" i="8"/>
  <c r="AM77" i="8"/>
  <c r="T76" i="8"/>
  <c r="U76" i="8"/>
  <c r="V76" i="8"/>
  <c r="W76" i="8"/>
  <c r="P77" i="8"/>
  <c r="Q78" i="8" s="1"/>
  <c r="R79" i="8" l="1"/>
  <c r="S80" i="8" s="1"/>
  <c r="D76" i="8"/>
  <c r="J76" i="8"/>
  <c r="K76" i="8" s="1"/>
  <c r="B76" i="8"/>
  <c r="E77" i="8"/>
  <c r="L76" i="8" l="1"/>
  <c r="H77" i="8"/>
  <c r="M77" i="8"/>
  <c r="O77" i="8"/>
  <c r="N77" i="8" s="1"/>
  <c r="F76" i="8"/>
  <c r="G77" i="8" s="1"/>
  <c r="AG78" i="8"/>
  <c r="AI78" i="8" l="1"/>
  <c r="AK78" i="8"/>
  <c r="AM78" i="8"/>
  <c r="AJ78" i="8"/>
  <c r="AO78" i="8"/>
  <c r="AL78" i="8"/>
  <c r="AN78" i="8"/>
  <c r="P78" i="8"/>
  <c r="Q79" i="8" s="1"/>
  <c r="T77" i="8"/>
  <c r="V77" i="8"/>
  <c r="W77" i="8"/>
  <c r="U77" i="8"/>
  <c r="AH79" i="8"/>
  <c r="B77" i="8" l="1"/>
  <c r="E78" i="8"/>
  <c r="D77" i="8"/>
  <c r="J77" i="8"/>
  <c r="K77" i="8" s="1"/>
  <c r="R80" i="8"/>
  <c r="AG79" i="8" l="1"/>
  <c r="H78" i="8"/>
  <c r="L77" i="8"/>
  <c r="M78" i="8"/>
  <c r="O78" i="8"/>
  <c r="N78" i="8" s="1"/>
  <c r="F77" i="8"/>
  <c r="G78" i="8" s="1"/>
  <c r="AI79" i="8" l="1"/>
  <c r="AK79" i="8"/>
  <c r="AO79" i="8"/>
  <c r="AM79" i="8"/>
  <c r="AN79" i="8"/>
  <c r="AL79" i="8"/>
  <c r="AJ79" i="8"/>
  <c r="T78" i="8"/>
  <c r="V78" i="8"/>
  <c r="W78" i="8"/>
  <c r="U78" i="8"/>
  <c r="AH80" i="8"/>
  <c r="P79" i="8"/>
  <c r="Q80" i="8" s="1"/>
  <c r="E79" i="8" l="1"/>
  <c r="AG80" i="8" s="1"/>
  <c r="D78" i="8"/>
  <c r="J78" i="8"/>
  <c r="K78" i="8" s="1"/>
  <c r="B78" i="8"/>
  <c r="H79" i="8" l="1"/>
  <c r="M79" i="8"/>
  <c r="L78" i="8"/>
  <c r="O79" i="8"/>
  <c r="N79" i="8" s="1"/>
  <c r="F78" i="8"/>
  <c r="G79" i="8" s="1"/>
  <c r="AI80" i="8" l="1"/>
  <c r="AJ80" i="8"/>
  <c r="AK80" i="8"/>
  <c r="AO80" i="8"/>
  <c r="AM80" i="8"/>
  <c r="AL80" i="8"/>
  <c r="AN80" i="8"/>
  <c r="P80" i="8"/>
  <c r="T79" i="8"/>
  <c r="V79" i="8"/>
  <c r="W79" i="8"/>
  <c r="U79" i="8"/>
  <c r="D79" i="8" l="1"/>
  <c r="J79" i="8"/>
  <c r="K79" i="8" s="1"/>
  <c r="B79" i="8"/>
  <c r="E80" i="8"/>
  <c r="H80" i="8" l="1"/>
  <c r="L79" i="8"/>
  <c r="M80" i="8"/>
  <c r="O80" i="8"/>
  <c r="N80" i="8" s="1"/>
  <c r="F79" i="8"/>
  <c r="G80" i="8" s="1"/>
  <c r="T80" i="8" l="1"/>
  <c r="V80" i="8"/>
  <c r="W80" i="8"/>
  <c r="U80" i="8"/>
  <c r="D80" i="8" l="1"/>
  <c r="J80" i="8"/>
  <c r="K80" i="8" s="1"/>
  <c r="B80" i="8"/>
  <c r="L80" i="8" l="1"/>
  <c r="F80" i="8"/>
  <c r="C1" i="19" l="1"/>
  <c r="C7" i="19" s="1"/>
  <c r="E4" i="18" s="1"/>
  <c r="D11" i="19" l="1"/>
  <c r="C12" i="19"/>
  <c r="D12" i="19" l="1"/>
  <c r="D13" i="19" s="1"/>
  <c r="D14" i="19" s="1"/>
  <c r="F14" i="19" s="1"/>
  <c r="E55" i="18"/>
  <c r="E59" i="18" s="1"/>
  <c r="E14" i="19"/>
  <c r="H11" i="19"/>
  <c r="F11" i="19"/>
  <c r="D15" i="19" l="1"/>
  <c r="F15" i="19" s="1"/>
  <c r="B14" i="19"/>
  <c r="C15" i="19" s="1"/>
  <c r="H14" i="19"/>
  <c r="I14" i="19" s="1"/>
  <c r="B12" i="33"/>
  <c r="B21" i="33" s="1"/>
  <c r="E62" i="18"/>
  <c r="B23" i="33" s="1"/>
  <c r="I11" i="19"/>
  <c r="G11" i="19"/>
  <c r="B15" i="19" l="1"/>
  <c r="C16" i="19" s="1"/>
  <c r="E15" i="19"/>
  <c r="D16" i="19"/>
  <c r="F5" i="18" s="1"/>
  <c r="H15" i="19"/>
  <c r="I15" i="19" s="1"/>
  <c r="J15" i="19" s="1"/>
  <c r="G14" i="19"/>
  <c r="F7" i="19"/>
  <c r="B16" i="19" l="1"/>
  <c r="C17" i="19" s="1"/>
  <c r="E16" i="19"/>
  <c r="D17" i="19"/>
  <c r="E17" i="19" s="1"/>
  <c r="G15" i="19"/>
  <c r="F16" i="19"/>
  <c r="H16" i="19"/>
  <c r="I16" i="19" s="1"/>
  <c r="L15" i="19"/>
  <c r="M15" i="19"/>
  <c r="O15" i="19"/>
  <c r="K15" i="19"/>
  <c r="N15" i="19"/>
  <c r="F17" i="19"/>
  <c r="D30" i="27"/>
  <c r="H17" i="19" l="1"/>
  <c r="I17" i="19" s="1"/>
  <c r="K17" i="19" s="1"/>
  <c r="D18" i="19"/>
  <c r="B17" i="19"/>
  <c r="C18" i="19" s="1"/>
  <c r="G16" i="19"/>
  <c r="L17" i="19"/>
  <c r="M17" i="19"/>
  <c r="J17" i="19"/>
  <c r="N17" i="19"/>
  <c r="K16" i="19"/>
  <c r="L16" i="19"/>
  <c r="J16" i="19"/>
  <c r="O16" i="19"/>
  <c r="N16" i="19"/>
  <c r="M16" i="19"/>
  <c r="E18" i="19"/>
  <c r="B18" i="19"/>
  <c r="C19" i="19" s="1"/>
  <c r="D19" i="19"/>
  <c r="F18" i="19"/>
  <c r="H18" i="19"/>
  <c r="O17" i="19"/>
  <c r="G17" i="19"/>
  <c r="C5" i="13"/>
  <c r="C6" i="13" s="1"/>
  <c r="G18" i="19" l="1"/>
  <c r="I18" i="19"/>
  <c r="O18" i="19" s="1"/>
  <c r="F19" i="19"/>
  <c r="D20" i="19"/>
  <c r="H19" i="19"/>
  <c r="I19" i="19" s="1"/>
  <c r="N19" i="19" s="1"/>
  <c r="B19" i="19"/>
  <c r="C20" i="19" s="1"/>
  <c r="E19" i="19"/>
  <c r="C10" i="1"/>
  <c r="G19" i="19" l="1"/>
  <c r="J18" i="19"/>
  <c r="J19" i="19"/>
  <c r="L19" i="19"/>
  <c r="K18" i="19"/>
  <c r="L18" i="19"/>
  <c r="M18" i="19"/>
  <c r="N18" i="19"/>
  <c r="O19" i="19"/>
  <c r="K19" i="19"/>
  <c r="M19" i="19"/>
  <c r="H20" i="19"/>
  <c r="I20" i="19" s="1"/>
  <c r="O20" i="19" s="1"/>
  <c r="B20" i="19"/>
  <c r="C21" i="19" s="1"/>
  <c r="F20" i="19"/>
  <c r="D21" i="19"/>
  <c r="E20" i="19"/>
  <c r="C9" i="1"/>
  <c r="C11" i="1" s="1"/>
  <c r="L20" i="19" l="1"/>
  <c r="N20" i="19"/>
  <c r="H21" i="19"/>
  <c r="I21" i="19" s="1"/>
  <c r="L21" i="19" s="1"/>
  <c r="E21" i="19"/>
  <c r="B21" i="19"/>
  <c r="C22" i="19" s="1"/>
  <c r="F21" i="19"/>
  <c r="D22" i="19"/>
  <c r="M20" i="19"/>
  <c r="J20" i="19"/>
  <c r="K20" i="19"/>
  <c r="G20" i="19"/>
  <c r="C2" i="13"/>
  <c r="C3" i="13" s="1"/>
  <c r="M21" i="19" l="1"/>
  <c r="J21" i="19"/>
  <c r="G21" i="19"/>
  <c r="K21" i="19"/>
  <c r="O21" i="19"/>
  <c r="B22" i="19"/>
  <c r="C23" i="19" s="1"/>
  <c r="F22" i="19"/>
  <c r="H22" i="19"/>
  <c r="D23" i="19"/>
  <c r="E22" i="19"/>
  <c r="N21" i="19"/>
  <c r="G22" i="19" l="1"/>
  <c r="I22" i="19"/>
  <c r="K22" i="19" s="1"/>
  <c r="B23" i="19"/>
  <c r="C24" i="19" s="1"/>
  <c r="D24" i="19"/>
  <c r="E23" i="19"/>
  <c r="H23" i="19"/>
  <c r="F23" i="19"/>
  <c r="L22" i="19" l="1"/>
  <c r="N22" i="19"/>
  <c r="M22" i="19"/>
  <c r="O22" i="19"/>
  <c r="J22" i="19"/>
  <c r="G23" i="19"/>
  <c r="I23" i="19"/>
  <c r="L23" i="19" s="1"/>
  <c r="D25" i="19"/>
  <c r="B24" i="19"/>
  <c r="C25" i="19" s="1"/>
  <c r="E24" i="19"/>
  <c r="F24" i="19"/>
  <c r="H24" i="19"/>
  <c r="J23" i="19" l="1"/>
  <c r="K23" i="19"/>
  <c r="G24" i="19"/>
  <c r="O23" i="19"/>
  <c r="M23" i="19"/>
  <c r="N23" i="19"/>
  <c r="I24" i="19"/>
  <c r="K24" i="19" s="1"/>
  <c r="E25" i="19"/>
  <c r="B25" i="19"/>
  <c r="C26" i="19" s="1"/>
  <c r="F25" i="19"/>
  <c r="D26" i="19"/>
  <c r="H25" i="19"/>
  <c r="L24" i="19" l="1"/>
  <c r="G25" i="19"/>
  <c r="O24" i="19"/>
  <c r="N24" i="19"/>
  <c r="M24" i="19"/>
  <c r="J24" i="19"/>
  <c r="I25" i="19"/>
  <c r="O25" i="19" s="1"/>
  <c r="E26" i="19"/>
  <c r="H26" i="19"/>
  <c r="B26" i="19"/>
  <c r="C27" i="19" s="1"/>
  <c r="D27" i="19"/>
  <c r="F26" i="19"/>
  <c r="G26" i="19" l="1"/>
  <c r="L25" i="19"/>
  <c r="I26" i="19"/>
  <c r="M26" i="19" s="1"/>
  <c r="J25" i="19"/>
  <c r="K25" i="19"/>
  <c r="N25" i="19"/>
  <c r="M25" i="19"/>
  <c r="F27" i="19"/>
  <c r="B27" i="19"/>
  <c r="C28" i="19" s="1"/>
  <c r="H27" i="19"/>
  <c r="D28" i="19"/>
  <c r="E27" i="19"/>
  <c r="L26" i="19" l="1"/>
  <c r="G27" i="19"/>
  <c r="K26" i="19"/>
  <c r="J26" i="19"/>
  <c r="O26" i="19"/>
  <c r="N26" i="19"/>
  <c r="I27" i="19"/>
  <c r="H28" i="19"/>
  <c r="G28" i="19" s="1"/>
  <c r="E28" i="19"/>
  <c r="F28" i="19"/>
  <c r="B28" i="19"/>
  <c r="C29" i="19" s="1"/>
  <c r="D29" i="19"/>
  <c r="I28" i="19" l="1"/>
  <c r="J28" i="19" s="1"/>
  <c r="H29" i="19"/>
  <c r="B29" i="19"/>
  <c r="C30" i="19" s="1"/>
  <c r="D30" i="19"/>
  <c r="F29" i="19"/>
  <c r="E29" i="19"/>
  <c r="O28" i="19"/>
  <c r="M28" i="19"/>
  <c r="K28" i="19"/>
  <c r="M27" i="19"/>
  <c r="N27" i="19"/>
  <c r="L27" i="19"/>
  <c r="O27" i="19"/>
  <c r="K27" i="19"/>
  <c r="J27" i="19"/>
  <c r="L28" i="19" l="1"/>
  <c r="G29" i="19"/>
  <c r="N28" i="19"/>
  <c r="I29" i="19"/>
  <c r="B30" i="19"/>
  <c r="C31" i="19" s="1"/>
  <c r="H30" i="19"/>
  <c r="D31" i="19"/>
  <c r="E30" i="19"/>
  <c r="F30" i="19"/>
  <c r="G30" i="19" l="1"/>
  <c r="I30" i="19"/>
  <c r="N30" i="19" s="1"/>
  <c r="B31" i="19"/>
  <c r="C32" i="19" s="1"/>
  <c r="E31" i="19"/>
  <c r="F31" i="19"/>
  <c r="D32" i="19"/>
  <c r="H31" i="19"/>
  <c r="M29" i="19"/>
  <c r="N29" i="19"/>
  <c r="K29" i="19"/>
  <c r="O29" i="19"/>
  <c r="L29" i="19"/>
  <c r="J29" i="19"/>
  <c r="O30" i="19" l="1"/>
  <c r="K30" i="19"/>
  <c r="M30" i="19"/>
  <c r="L30" i="19"/>
  <c r="J30" i="19"/>
  <c r="G31" i="19"/>
  <c r="I31" i="19"/>
  <c r="D33" i="19"/>
  <c r="H32" i="19"/>
  <c r="I32" i="19" s="1"/>
  <c r="O32" i="19" s="1"/>
  <c r="F32" i="19"/>
  <c r="E32" i="19"/>
  <c r="B32" i="19"/>
  <c r="C33" i="19" s="1"/>
  <c r="G32" i="19" l="1"/>
  <c r="N32" i="19"/>
  <c r="M32" i="19"/>
  <c r="L32" i="19"/>
  <c r="J32" i="19"/>
  <c r="E33" i="19"/>
  <c r="D34" i="19"/>
  <c r="F33" i="19"/>
  <c r="H33" i="19"/>
  <c r="B33" i="19"/>
  <c r="C34" i="19" s="1"/>
  <c r="K32" i="19"/>
  <c r="M31" i="19"/>
  <c r="K31" i="19"/>
  <c r="N31" i="19"/>
  <c r="O31" i="19"/>
  <c r="J31" i="19"/>
  <c r="L31" i="19"/>
  <c r="G33" i="19" l="1"/>
  <c r="E34" i="19"/>
  <c r="F34" i="19"/>
  <c r="H34" i="19"/>
  <c r="G34" i="19" s="1"/>
  <c r="B34" i="19"/>
  <c r="C35" i="19" s="1"/>
  <c r="D35" i="19"/>
  <c r="I33" i="19"/>
  <c r="I34" i="19" l="1"/>
  <c r="M34" i="19" s="1"/>
  <c r="J33" i="19"/>
  <c r="O33" i="19"/>
  <c r="N33" i="19"/>
  <c r="L33" i="19"/>
  <c r="M33" i="19"/>
  <c r="K33" i="19"/>
  <c r="F35" i="19"/>
  <c r="E35" i="19"/>
  <c r="H35" i="19"/>
  <c r="D36" i="19"/>
  <c r="B35" i="19"/>
  <c r="C36" i="19" s="1"/>
  <c r="J34" i="19"/>
  <c r="L34" i="19"/>
  <c r="O34" i="19" l="1"/>
  <c r="K34" i="19"/>
  <c r="N34" i="19"/>
  <c r="G35" i="19"/>
  <c r="I35" i="19"/>
  <c r="J35" i="19" s="1"/>
  <c r="H36" i="19"/>
  <c r="G36" i="19" s="1"/>
  <c r="D37" i="19"/>
  <c r="E36" i="19"/>
  <c r="B36" i="19"/>
  <c r="C37" i="19" s="1"/>
  <c r="F36" i="19"/>
  <c r="K35" i="19" l="1"/>
  <c r="L35" i="19"/>
  <c r="M35" i="19"/>
  <c r="N35" i="19"/>
  <c r="O35" i="19"/>
  <c r="I36" i="19"/>
  <c r="L36" i="19" s="1"/>
  <c r="H37" i="19"/>
  <c r="B37" i="19"/>
  <c r="C38" i="19" s="1"/>
  <c r="D38" i="19"/>
  <c r="E37" i="19"/>
  <c r="F37" i="19"/>
  <c r="G37" i="19" l="1"/>
  <c r="J36" i="19"/>
  <c r="N36" i="19"/>
  <c r="O36" i="19"/>
  <c r="K36" i="19"/>
  <c r="M36" i="19"/>
  <c r="I37" i="19"/>
  <c r="B38" i="19"/>
  <c r="C39" i="19" s="1"/>
  <c r="F38" i="19"/>
  <c r="D39" i="19"/>
  <c r="E38" i="19"/>
  <c r="H38" i="19"/>
  <c r="G38" i="19" s="1"/>
  <c r="B39" i="19" l="1"/>
  <c r="C40" i="19" s="1"/>
  <c r="D40" i="19"/>
  <c r="E39" i="19"/>
  <c r="H39" i="19"/>
  <c r="F39" i="19"/>
  <c r="I38" i="19"/>
  <c r="N37" i="19"/>
  <c r="M37" i="19"/>
  <c r="K37" i="19"/>
  <c r="O37" i="19"/>
  <c r="J37" i="19"/>
  <c r="L37" i="19"/>
  <c r="G39" i="19" l="1"/>
  <c r="I39" i="19"/>
  <c r="L39" i="19" s="1"/>
  <c r="N38" i="19"/>
  <c r="K38" i="19"/>
  <c r="O38" i="19"/>
  <c r="L38" i="19"/>
  <c r="J38" i="19"/>
  <c r="M38" i="19"/>
  <c r="D41" i="19"/>
  <c r="B40" i="19"/>
  <c r="C41" i="19" s="1"/>
  <c r="H40" i="19"/>
  <c r="I40" i="19" s="1"/>
  <c r="K40" i="19" s="1"/>
  <c r="E40" i="19"/>
  <c r="F40" i="19"/>
  <c r="N39" i="19" l="1"/>
  <c r="G40" i="19"/>
  <c r="O39" i="19"/>
  <c r="K39" i="19"/>
  <c r="J39" i="19"/>
  <c r="M39" i="19"/>
  <c r="L40" i="19"/>
  <c r="O40" i="19"/>
  <c r="E41" i="19"/>
  <c r="H41" i="19"/>
  <c r="B41" i="19"/>
  <c r="C42" i="19" s="1"/>
  <c r="D42" i="19"/>
  <c r="F41" i="19"/>
  <c r="J40" i="19"/>
  <c r="N40" i="19"/>
  <c r="M40" i="19"/>
  <c r="G41" i="19" l="1"/>
  <c r="I41" i="19"/>
  <c r="J41" i="19" s="1"/>
  <c r="E42" i="19"/>
  <c r="H42" i="19"/>
  <c r="B42" i="19"/>
  <c r="C43" i="19" s="1"/>
  <c r="D43" i="19"/>
  <c r="F42" i="19"/>
  <c r="N41" i="19" l="1"/>
  <c r="G42" i="19"/>
  <c r="M41" i="19"/>
  <c r="K41" i="19"/>
  <c r="O41" i="19"/>
  <c r="L41" i="19"/>
  <c r="I42" i="19"/>
  <c r="J42" i="19" s="1"/>
  <c r="F43" i="19"/>
  <c r="E43" i="19"/>
  <c r="H43" i="19"/>
  <c r="G43" i="19" s="1"/>
  <c r="D44" i="19"/>
  <c r="B43" i="19"/>
  <c r="C44" i="19" s="1"/>
  <c r="O42" i="19" l="1"/>
  <c r="M42" i="19"/>
  <c r="N42" i="19"/>
  <c r="K42" i="19"/>
  <c r="L42" i="19"/>
  <c r="I43" i="19"/>
  <c r="J43" i="19" s="1"/>
  <c r="H44" i="19"/>
  <c r="G44" i="19" s="1"/>
  <c r="B44" i="19"/>
  <c r="C45" i="19" s="1"/>
  <c r="D45" i="19"/>
  <c r="E44" i="19"/>
  <c r="F44" i="19"/>
  <c r="L43" i="19" l="1"/>
  <c r="M43" i="19"/>
  <c r="O43" i="19"/>
  <c r="N43" i="19"/>
  <c r="K43" i="19"/>
  <c r="I44" i="19"/>
  <c r="L44" i="19" s="1"/>
  <c r="H45" i="19"/>
  <c r="G45" i="19" s="1"/>
  <c r="E45" i="19"/>
  <c r="F45" i="19"/>
  <c r="B45" i="19"/>
  <c r="C46" i="19" s="1"/>
  <c r="D46" i="19"/>
  <c r="M44" i="19" l="1"/>
  <c r="I45" i="19"/>
  <c r="J45" i="19" s="1"/>
  <c r="O44" i="19"/>
  <c r="N44" i="19"/>
  <c r="K44" i="19"/>
  <c r="J44" i="19"/>
  <c r="K45" i="19"/>
  <c r="M45" i="19"/>
  <c r="B46" i="19"/>
  <c r="H46" i="19"/>
  <c r="G46" i="19" s="1"/>
  <c r="F46" i="19"/>
  <c r="E46" i="19"/>
  <c r="I46" i="19" l="1"/>
  <c r="K46" i="19" s="1"/>
  <c r="L45" i="19"/>
  <c r="N45" i="19"/>
  <c r="O45" i="19"/>
  <c r="M46" i="19" l="1"/>
  <c r="O46" i="19"/>
  <c r="N46" i="19"/>
  <c r="L46" i="19"/>
  <c r="J46" i="19"/>
  <c r="J42" i="18" l="1"/>
  <c r="C19" i="1" l="1"/>
  <c r="C2" i="19" l="1"/>
  <c r="E3" i="19" s="1"/>
  <c r="D3" i="19" l="1"/>
  <c r="F12" i="19"/>
  <c r="H12" i="19"/>
  <c r="B12" i="19"/>
  <c r="C13" i="19" s="1"/>
  <c r="G12" i="19" l="1"/>
  <c r="E9" i="18" s="1"/>
  <c r="F13" i="19"/>
  <c r="H13" i="19"/>
  <c r="B13" i="19"/>
  <c r="C14" i="19" s="1"/>
  <c r="E13" i="19"/>
  <c r="I12" i="19"/>
  <c r="K12" i="19" s="1"/>
  <c r="N14" i="19" l="1"/>
  <c r="L14" i="19"/>
  <c r="K14" i="19"/>
  <c r="M14" i="19"/>
  <c r="O14" i="19"/>
  <c r="J14" i="19"/>
  <c r="M12" i="19"/>
  <c r="J12" i="19"/>
  <c r="G13" i="19"/>
  <c r="N12" i="19"/>
  <c r="I13" i="19"/>
  <c r="O12" i="19"/>
  <c r="L12" i="19"/>
  <c r="N13" i="19" l="1"/>
  <c r="M13" i="19"/>
  <c r="L13" i="19"/>
  <c r="J13" i="19"/>
  <c r="O13" i="19"/>
  <c r="K13" i="19"/>
  <c r="D47" i="19" l="1"/>
  <c r="H47" i="19" l="1"/>
  <c r="G47" i="19" s="1"/>
  <c r="B47" i="19"/>
  <c r="E47" i="19"/>
  <c r="F47" i="19"/>
  <c r="D48" i="19"/>
  <c r="E48" i="19" l="1"/>
  <c r="D49" i="19"/>
  <c r="B48" i="19"/>
  <c r="H48" i="19"/>
  <c r="G48" i="19" s="1"/>
  <c r="F48" i="19"/>
  <c r="I47" i="19"/>
  <c r="I48" i="19" l="1"/>
  <c r="L48" i="19" s="1"/>
  <c r="L47" i="19"/>
  <c r="M47" i="19"/>
  <c r="J47" i="19"/>
  <c r="O47" i="19"/>
  <c r="K47" i="19"/>
  <c r="N47" i="19"/>
  <c r="E49" i="19"/>
  <c r="B49" i="19"/>
  <c r="F49" i="19"/>
  <c r="D50" i="19"/>
  <c r="H49" i="19"/>
  <c r="G49" i="19" s="1"/>
  <c r="N48" i="19"/>
  <c r="K48" i="19"/>
  <c r="M48" i="19"/>
  <c r="O48" i="19"/>
  <c r="J48" i="19"/>
  <c r="I49" i="19" l="1"/>
  <c r="J49" i="19" s="1"/>
  <c r="F50" i="19"/>
  <c r="E50" i="19"/>
  <c r="B50" i="19"/>
  <c r="H50" i="19"/>
  <c r="G50" i="19" s="1"/>
  <c r="D51" i="19"/>
  <c r="L49" i="19" l="1"/>
  <c r="N49" i="19"/>
  <c r="O49" i="19"/>
  <c r="M49" i="19"/>
  <c r="K49" i="19"/>
  <c r="I50" i="19"/>
  <c r="N50" i="19" s="1"/>
  <c r="D52" i="19"/>
  <c r="F51" i="19"/>
  <c r="B51" i="19"/>
  <c r="H51" i="19"/>
  <c r="G51" i="19" s="1"/>
  <c r="E51" i="19"/>
  <c r="M50" i="19" l="1"/>
  <c r="O50" i="19"/>
  <c r="K50" i="19"/>
  <c r="L50" i="19"/>
  <c r="J50" i="19"/>
  <c r="I51" i="19"/>
  <c r="B52" i="19"/>
  <c r="H52" i="19"/>
  <c r="G52" i="19" s="1"/>
  <c r="F52" i="19"/>
  <c r="E52" i="19"/>
  <c r="D53" i="19"/>
  <c r="I52" i="19" l="1"/>
  <c r="K52" i="19" s="1"/>
  <c r="F53" i="19"/>
  <c r="B53" i="19"/>
  <c r="E53" i="19"/>
  <c r="D54" i="19"/>
  <c r="H53" i="19"/>
  <c r="G53" i="19" s="1"/>
  <c r="L52" i="19"/>
  <c r="N52" i="19"/>
  <c r="M52" i="19"/>
  <c r="O52" i="19"/>
  <c r="J52" i="19"/>
  <c r="K51" i="19"/>
  <c r="M51" i="19"/>
  <c r="J51" i="19"/>
  <c r="L51" i="19"/>
  <c r="N51" i="19"/>
  <c r="O51" i="19"/>
  <c r="I53" i="19" l="1"/>
  <c r="B54" i="19"/>
  <c r="H54" i="19"/>
  <c r="G54" i="19" s="1"/>
  <c r="D55" i="19"/>
  <c r="E54" i="19"/>
  <c r="F54" i="19"/>
  <c r="I54" i="19" l="1"/>
  <c r="M54" i="19" s="1"/>
  <c r="F55" i="19"/>
  <c r="B55" i="19"/>
  <c r="H55" i="19"/>
  <c r="G55" i="19" s="1"/>
  <c r="E55" i="19"/>
  <c r="D56" i="19"/>
  <c r="N54" i="19"/>
  <c r="J54" i="19"/>
  <c r="L54" i="19"/>
  <c r="L53" i="19"/>
  <c r="N53" i="19"/>
  <c r="K53" i="19"/>
  <c r="M53" i="19"/>
  <c r="J53" i="19"/>
  <c r="O53" i="19"/>
  <c r="K54" i="19" l="1"/>
  <c r="O54" i="19"/>
  <c r="H56" i="19"/>
  <c r="G56" i="19" s="1"/>
  <c r="E56" i="19"/>
  <c r="B56" i="19"/>
  <c r="D57" i="19"/>
  <c r="F56" i="19"/>
  <c r="I55" i="19"/>
  <c r="I56" i="19" l="1"/>
  <c r="H57" i="19"/>
  <c r="G57" i="19" s="1"/>
  <c r="E57" i="19"/>
  <c r="D58" i="19"/>
  <c r="B57" i="19"/>
  <c r="F57" i="19"/>
  <c r="I57" i="19"/>
  <c r="J56" i="19"/>
  <c r="K56" i="19"/>
  <c r="L56" i="19"/>
  <c r="M56" i="19"/>
  <c r="O56" i="19"/>
  <c r="N56" i="19"/>
  <c r="L55" i="19"/>
  <c r="J55" i="19"/>
  <c r="M55" i="19"/>
  <c r="K55" i="19"/>
  <c r="N55" i="19"/>
  <c r="O55" i="19"/>
  <c r="M57" i="19" l="1"/>
  <c r="K57" i="19"/>
  <c r="J57" i="19"/>
  <c r="N57" i="19"/>
  <c r="O57" i="19"/>
  <c r="L57" i="19"/>
  <c r="E58" i="19"/>
  <c r="F58" i="19"/>
  <c r="B58" i="19"/>
  <c r="H58" i="19"/>
  <c r="G58" i="19" s="1"/>
  <c r="D59" i="19"/>
  <c r="I58" i="19" l="1"/>
  <c r="N58" i="19"/>
  <c r="M58" i="19"/>
  <c r="O58" i="19"/>
  <c r="J58" i="19"/>
  <c r="K58" i="19"/>
  <c r="L58" i="19"/>
  <c r="B59" i="19"/>
  <c r="F59" i="19"/>
  <c r="D60" i="19"/>
  <c r="E59" i="19"/>
  <c r="H59" i="19"/>
  <c r="G59" i="19" s="1"/>
  <c r="I59" i="19" l="1"/>
  <c r="L59" i="19" s="1"/>
  <c r="D61" i="19"/>
  <c r="E60" i="19"/>
  <c r="B60" i="19"/>
  <c r="H60" i="19"/>
  <c r="G60" i="19" s="1"/>
  <c r="F60" i="19"/>
  <c r="J59" i="19" l="1"/>
  <c r="K59" i="19"/>
  <c r="O59" i="19"/>
  <c r="I60" i="19"/>
  <c r="J60" i="19" s="1"/>
  <c r="N59" i="19"/>
  <c r="M59" i="19"/>
  <c r="F61" i="19"/>
  <c r="D62" i="19"/>
  <c r="H61" i="19"/>
  <c r="G61" i="19" s="1"/>
  <c r="B61" i="19"/>
  <c r="E61" i="19"/>
  <c r="L60" i="19" l="1"/>
  <c r="N60" i="19"/>
  <c r="O60" i="19"/>
  <c r="M60" i="19"/>
  <c r="K60" i="19"/>
  <c r="I61" i="19"/>
  <c r="K61" i="19" s="1"/>
  <c r="B62" i="19"/>
  <c r="H62" i="19"/>
  <c r="G62" i="19" s="1"/>
  <c r="F62" i="19"/>
  <c r="E62" i="19"/>
  <c r="D63" i="19"/>
  <c r="N61" i="19" l="1"/>
  <c r="L61" i="19"/>
  <c r="J61" i="19"/>
  <c r="M61" i="19"/>
  <c r="O61" i="19"/>
  <c r="F63" i="19"/>
  <c r="E63" i="19"/>
  <c r="H63" i="19"/>
  <c r="G63" i="19" s="1"/>
  <c r="D64" i="19"/>
  <c r="B63" i="19"/>
  <c r="I62" i="19"/>
  <c r="I63" i="19" l="1"/>
  <c r="O63" i="19" s="1"/>
  <c r="J62" i="19"/>
  <c r="O62" i="19"/>
  <c r="N62" i="19"/>
  <c r="L62" i="19"/>
  <c r="M62" i="19"/>
  <c r="K62" i="19"/>
  <c r="H64" i="19"/>
  <c r="G64" i="19" s="1"/>
  <c r="E64" i="19"/>
  <c r="F64" i="19"/>
  <c r="B64" i="19"/>
  <c r="D65" i="19"/>
  <c r="N63" i="19"/>
  <c r="J63" i="19"/>
  <c r="K63" i="19"/>
  <c r="M63" i="19" l="1"/>
  <c r="L63" i="19"/>
  <c r="I64" i="19"/>
  <c r="F65" i="19"/>
  <c r="H65" i="19"/>
  <c r="G65" i="19" s="1"/>
  <c r="E65" i="19"/>
  <c r="B65" i="19"/>
  <c r="D66" i="19"/>
  <c r="I65" i="19" l="1"/>
  <c r="K65" i="19" s="1"/>
  <c r="B66" i="19"/>
  <c r="E66" i="19"/>
  <c r="H66" i="19"/>
  <c r="G66" i="19" s="1"/>
  <c r="D67" i="19"/>
  <c r="F66" i="19"/>
  <c r="M65" i="19"/>
  <c r="N65" i="19"/>
  <c r="J65" i="19"/>
  <c r="K64" i="19"/>
  <c r="M64" i="19"/>
  <c r="L64" i="19"/>
  <c r="J64" i="19"/>
  <c r="N64" i="19"/>
  <c r="O64" i="19"/>
  <c r="L65" i="19" l="1"/>
  <c r="O65" i="19"/>
  <c r="I66" i="19"/>
  <c r="N66" i="19" s="1"/>
  <c r="H67" i="19"/>
  <c r="G67" i="19" s="1"/>
  <c r="D68" i="19"/>
  <c r="E67" i="19"/>
  <c r="F67" i="19"/>
  <c r="B67" i="19"/>
  <c r="I67" i="19" l="1"/>
  <c r="O67" i="19" s="1"/>
  <c r="J66" i="19"/>
  <c r="O66" i="19"/>
  <c r="K66" i="19"/>
  <c r="M66" i="19"/>
  <c r="L66" i="19"/>
  <c r="K67" i="19"/>
  <c r="N67" i="19"/>
  <c r="J67" i="19"/>
  <c r="M67" i="19"/>
  <c r="F68" i="19"/>
  <c r="H68" i="19"/>
  <c r="G68" i="19" s="1"/>
  <c r="B68" i="19"/>
  <c r="D69" i="19"/>
  <c r="E68" i="19"/>
  <c r="L67" i="19" l="1"/>
  <c r="I68" i="19"/>
  <c r="N68" i="19" s="1"/>
  <c r="F69" i="19"/>
  <c r="B69" i="19"/>
  <c r="H69" i="19"/>
  <c r="G69" i="19" s="1"/>
  <c r="D70" i="19"/>
  <c r="E69" i="19"/>
  <c r="L68" i="19" l="1"/>
  <c r="O68" i="19"/>
  <c r="M68" i="19"/>
  <c r="K68" i="19"/>
  <c r="J68" i="19"/>
  <c r="I69" i="19"/>
  <c r="J69" i="19" s="1"/>
  <c r="F70" i="19"/>
  <c r="E70" i="19"/>
  <c r="D71" i="19"/>
  <c r="B70" i="19"/>
  <c r="H70" i="19"/>
  <c r="G70" i="19" s="1"/>
  <c r="O69" i="19" l="1"/>
  <c r="K69" i="19"/>
  <c r="N69" i="19"/>
  <c r="M69" i="19"/>
  <c r="L69" i="19"/>
  <c r="H71" i="19"/>
  <c r="G71" i="19" s="1"/>
  <c r="D72" i="19"/>
  <c r="F71" i="19"/>
  <c r="E71" i="19"/>
  <c r="I70" i="19"/>
  <c r="I71" i="19" l="1"/>
  <c r="M70" i="19"/>
  <c r="O70" i="19"/>
  <c r="J70" i="19"/>
  <c r="K70" i="19"/>
  <c r="N70" i="19"/>
  <c r="L70" i="19"/>
  <c r="F72" i="19"/>
  <c r="E72" i="19"/>
  <c r="D73" i="19"/>
  <c r="H72" i="19"/>
  <c r="G72" i="19" s="1"/>
  <c r="J71" i="19"/>
  <c r="N71" i="19"/>
  <c r="M71" i="19"/>
  <c r="K71" i="19"/>
  <c r="L71" i="19"/>
  <c r="O71" i="19"/>
  <c r="I72" i="19" l="1"/>
  <c r="L72" i="19" s="1"/>
  <c r="O72" i="19"/>
  <c r="K72" i="19"/>
  <c r="M72" i="19"/>
  <c r="D74" i="19"/>
  <c r="E73" i="19"/>
  <c r="F73" i="19"/>
  <c r="H73" i="19"/>
  <c r="G73" i="19" s="1"/>
  <c r="N72" i="19" l="1"/>
  <c r="J72" i="19"/>
  <c r="I73" i="19"/>
  <c r="K73" i="19" s="1"/>
  <c r="H74" i="19"/>
  <c r="G74" i="19" s="1"/>
  <c r="F74" i="19"/>
  <c r="E74" i="19"/>
  <c r="D75" i="19"/>
  <c r="I74" i="19" l="1"/>
  <c r="N74" i="19" s="1"/>
  <c r="J73" i="19"/>
  <c r="M73" i="19"/>
  <c r="N73" i="19"/>
  <c r="O73" i="19"/>
  <c r="L73" i="19"/>
  <c r="D76" i="19"/>
  <c r="F75" i="19"/>
  <c r="E75" i="19"/>
  <c r="H75" i="19"/>
  <c r="G75" i="19" s="1"/>
  <c r="M74" i="19"/>
  <c r="K74" i="19"/>
  <c r="L74" i="19"/>
  <c r="J74" i="19"/>
  <c r="O74" i="19"/>
  <c r="I75" i="19" l="1"/>
  <c r="M75" i="19" s="1"/>
  <c r="F76" i="19"/>
  <c r="E76" i="19"/>
  <c r="H76" i="19"/>
  <c r="G76" i="19" s="1"/>
  <c r="D77" i="19"/>
  <c r="K75" i="19" l="1"/>
  <c r="L75" i="19"/>
  <c r="O75" i="19"/>
  <c r="J75" i="19"/>
  <c r="I76" i="19"/>
  <c r="N76" i="19" s="1"/>
  <c r="N75" i="19"/>
  <c r="E77" i="19"/>
  <c r="D78" i="19"/>
  <c r="H77" i="19"/>
  <c r="G77" i="19" s="1"/>
  <c r="F77" i="19"/>
  <c r="J76" i="19" l="1"/>
  <c r="M76" i="19"/>
  <c r="L76" i="19"/>
  <c r="O76" i="19"/>
  <c r="K76" i="19"/>
  <c r="I77" i="19"/>
  <c r="M77" i="19" s="1"/>
  <c r="H78" i="19"/>
  <c r="G78" i="19" s="1"/>
  <c r="E78" i="19"/>
  <c r="D79" i="19"/>
  <c r="F78" i="19"/>
  <c r="J77" i="19" l="1"/>
  <c r="L77" i="19"/>
  <c r="K77" i="19"/>
  <c r="N77" i="19"/>
  <c r="O77" i="19"/>
  <c r="I78" i="19"/>
  <c r="L78" i="19" s="1"/>
  <c r="F79" i="19"/>
  <c r="H79" i="19"/>
  <c r="G79" i="19" s="1"/>
  <c r="E79" i="19"/>
  <c r="D80" i="19"/>
  <c r="K78" i="19" l="1"/>
  <c r="N78" i="19"/>
  <c r="J78" i="19"/>
  <c r="O78" i="19"/>
  <c r="M78" i="19"/>
  <c r="E80" i="19"/>
  <c r="H80" i="19"/>
  <c r="G80" i="19" s="1"/>
  <c r="F80" i="19"/>
  <c r="D81" i="19"/>
  <c r="I79" i="19"/>
  <c r="I80" i="19" l="1"/>
  <c r="M80" i="19" s="1"/>
  <c r="J79" i="19"/>
  <c r="N79" i="19"/>
  <c r="K79" i="19"/>
  <c r="O79" i="19"/>
  <c r="M79" i="19"/>
  <c r="L79" i="19"/>
  <c r="E81" i="19"/>
  <c r="H81" i="19"/>
  <c r="G81" i="19" s="1"/>
  <c r="D82" i="19"/>
  <c r="F81" i="19"/>
  <c r="L80" i="19" l="1"/>
  <c r="J80" i="19"/>
  <c r="K80" i="19"/>
  <c r="O80" i="19"/>
  <c r="N80" i="19"/>
  <c r="F82" i="19"/>
  <c r="D83" i="19"/>
  <c r="H82" i="19"/>
  <c r="G82" i="19" s="1"/>
  <c r="E82" i="19"/>
  <c r="I81" i="19"/>
  <c r="I82" i="19" l="1"/>
  <c r="J82" i="19" s="1"/>
  <c r="L82" i="19"/>
  <c r="M82" i="19"/>
  <c r="K82" i="19"/>
  <c r="F83" i="19"/>
  <c r="H83" i="19"/>
  <c r="G83" i="19" s="1"/>
  <c r="E83" i="19"/>
  <c r="D84" i="19"/>
  <c r="O81" i="19"/>
  <c r="N81" i="19"/>
  <c r="L81" i="19"/>
  <c r="K81" i="19"/>
  <c r="J81" i="19"/>
  <c r="M81" i="19"/>
  <c r="N82" i="19" l="1"/>
  <c r="O82" i="19"/>
  <c r="E84" i="19"/>
  <c r="F84" i="19"/>
  <c r="H84" i="19"/>
  <c r="G84" i="19" s="1"/>
  <c r="D85" i="19"/>
  <c r="I83" i="19"/>
  <c r="I84" i="19" l="1"/>
  <c r="M84" i="19" s="1"/>
  <c r="D86" i="19"/>
  <c r="F85" i="19"/>
  <c r="H85" i="19"/>
  <c r="G85" i="19" s="1"/>
  <c r="E85" i="19"/>
  <c r="L84" i="19"/>
  <c r="N84" i="19"/>
  <c r="O84" i="19"/>
  <c r="J84" i="19"/>
  <c r="N83" i="19"/>
  <c r="O83" i="19"/>
  <c r="J83" i="19"/>
  <c r="K83" i="19"/>
  <c r="L83" i="19"/>
  <c r="M83" i="19"/>
  <c r="K84" i="19" l="1"/>
  <c r="I85" i="19"/>
  <c r="E86" i="19"/>
  <c r="F86" i="19"/>
  <c r="H86" i="19"/>
  <c r="G86" i="19" s="1"/>
  <c r="D87" i="19"/>
  <c r="I86" i="19" l="1"/>
  <c r="O86" i="19" s="1"/>
  <c r="D88" i="19"/>
  <c r="E87" i="19"/>
  <c r="F87" i="19"/>
  <c r="H87" i="19"/>
  <c r="G87" i="19" s="1"/>
  <c r="M85" i="19"/>
  <c r="J85" i="19"/>
  <c r="K85" i="19"/>
  <c r="N85" i="19"/>
  <c r="O85" i="19"/>
  <c r="L85" i="19"/>
  <c r="M86" i="19" l="1"/>
  <c r="K86" i="19"/>
  <c r="J86" i="19"/>
  <c r="L86" i="19"/>
  <c r="N86" i="19"/>
  <c r="I87" i="19"/>
  <c r="D89" i="19"/>
  <c r="E88" i="19"/>
  <c r="H88" i="19"/>
  <c r="G88" i="19" s="1"/>
  <c r="F88" i="19"/>
  <c r="I88" i="19" l="1"/>
  <c r="L88" i="19" s="1"/>
  <c r="O88" i="19"/>
  <c r="J88" i="19"/>
  <c r="N88" i="19"/>
  <c r="D90" i="19"/>
  <c r="E89" i="19"/>
  <c r="F89" i="19"/>
  <c r="H89" i="19"/>
  <c r="G89" i="19" s="1"/>
  <c r="M87" i="19"/>
  <c r="O87" i="19"/>
  <c r="N87" i="19"/>
  <c r="J87" i="19"/>
  <c r="L87" i="19"/>
  <c r="K87" i="19"/>
  <c r="M88" i="19" l="1"/>
  <c r="I89" i="19"/>
  <c r="J89" i="19" s="1"/>
  <c r="K88" i="19"/>
  <c r="F90" i="19"/>
  <c r="H90" i="19"/>
  <c r="G90" i="19" s="1"/>
  <c r="E90" i="19"/>
  <c r="D91" i="19"/>
  <c r="K89" i="19"/>
  <c r="M89" i="19" l="1"/>
  <c r="O89" i="19"/>
  <c r="N89" i="19"/>
  <c r="L89" i="19"/>
  <c r="I90" i="19"/>
  <c r="J90" i="19" s="1"/>
  <c r="E91" i="19"/>
  <c r="F91" i="19"/>
  <c r="H91" i="19"/>
  <c r="G91" i="19" s="1"/>
  <c r="D92" i="19"/>
  <c r="M90" i="19" l="1"/>
  <c r="N90" i="19"/>
  <c r="L90" i="19"/>
  <c r="I91" i="19"/>
  <c r="N91" i="19" s="1"/>
  <c r="O90" i="19"/>
  <c r="K90" i="19"/>
  <c r="H92" i="19"/>
  <c r="G92" i="19" s="1"/>
  <c r="E92" i="19"/>
  <c r="D93" i="19"/>
  <c r="F92" i="19"/>
  <c r="L91" i="19" l="1"/>
  <c r="O91" i="19"/>
  <c r="M91" i="19"/>
  <c r="K91" i="19"/>
  <c r="J91" i="19"/>
  <c r="I92" i="19"/>
  <c r="K92" i="19" s="1"/>
  <c r="H93" i="19"/>
  <c r="G93" i="19" s="1"/>
  <c r="D94" i="19"/>
  <c r="F93" i="19"/>
  <c r="E93" i="19"/>
  <c r="N92" i="19" l="1"/>
  <c r="O92" i="19"/>
  <c r="J92" i="19"/>
  <c r="M92" i="19"/>
  <c r="L92" i="19"/>
  <c r="H94" i="19"/>
  <c r="G94" i="19" s="1"/>
  <c r="E94" i="19"/>
  <c r="F94" i="19"/>
  <c r="D95" i="19"/>
  <c r="I93" i="19"/>
  <c r="I94" i="19" l="1"/>
  <c r="J94" i="19" s="1"/>
  <c r="F95" i="19"/>
  <c r="H95" i="19"/>
  <c r="G95" i="19" s="1"/>
  <c r="D96" i="19"/>
  <c r="E95" i="19"/>
  <c r="K93" i="19"/>
  <c r="M93" i="19"/>
  <c r="J93" i="19"/>
  <c r="O93" i="19"/>
  <c r="L93" i="19"/>
  <c r="N93" i="19"/>
  <c r="M94" i="19" l="1"/>
  <c r="O94" i="19"/>
  <c r="L94" i="19"/>
  <c r="K94" i="19"/>
  <c r="N94" i="19"/>
  <c r="I95" i="19"/>
  <c r="J95" i="19" s="1"/>
  <c r="D97" i="19"/>
  <c r="E96" i="19"/>
  <c r="F96" i="19"/>
  <c r="H96" i="19"/>
  <c r="G96" i="19" s="1"/>
  <c r="N95" i="19" l="1"/>
  <c r="L95" i="19"/>
  <c r="O95" i="19"/>
  <c r="M95" i="19"/>
  <c r="K95" i="19"/>
  <c r="I96" i="19"/>
  <c r="E97" i="19"/>
  <c r="H97" i="19"/>
  <c r="G97" i="19" s="1"/>
  <c r="D98" i="19"/>
  <c r="F97" i="19"/>
  <c r="I97" i="19" l="1"/>
  <c r="N97" i="19" s="1"/>
  <c r="M97" i="19"/>
  <c r="O97" i="19"/>
  <c r="J97" i="19"/>
  <c r="L97" i="19"/>
  <c r="E98" i="19"/>
  <c r="D99" i="19"/>
  <c r="F98" i="19"/>
  <c r="H98" i="19"/>
  <c r="G98" i="19" s="1"/>
  <c r="K96" i="19"/>
  <c r="N96" i="19"/>
  <c r="M96" i="19"/>
  <c r="O96" i="19"/>
  <c r="L96" i="19"/>
  <c r="J96" i="19"/>
  <c r="K97" i="19" l="1"/>
  <c r="I98" i="19"/>
  <c r="L98" i="19" s="1"/>
  <c r="E99" i="19"/>
  <c r="D100" i="19"/>
  <c r="H99" i="19"/>
  <c r="G99" i="19" s="1"/>
  <c r="F99" i="19"/>
  <c r="K98" i="19" l="1"/>
  <c r="O98" i="19"/>
  <c r="J98" i="19"/>
  <c r="N98" i="19"/>
  <c r="I99" i="19"/>
  <c r="J99" i="19" s="1"/>
  <c r="M98" i="19"/>
  <c r="H100" i="19"/>
  <c r="G100" i="19" s="1"/>
  <c r="D101" i="19"/>
  <c r="F100" i="19"/>
  <c r="E100" i="19"/>
  <c r="N99" i="19" l="1"/>
  <c r="O99" i="19"/>
  <c r="L99" i="19"/>
  <c r="K99" i="19"/>
  <c r="M99" i="19"/>
  <c r="I100" i="19"/>
  <c r="K100" i="19" s="1"/>
  <c r="D102" i="19"/>
  <c r="F101" i="19"/>
  <c r="H101" i="19"/>
  <c r="G101" i="19" s="1"/>
  <c r="E101" i="19"/>
  <c r="O100" i="19" l="1"/>
  <c r="J100" i="19"/>
  <c r="N100" i="19"/>
  <c r="L100" i="19"/>
  <c r="M100" i="19"/>
  <c r="I101" i="19"/>
  <c r="M101" i="19" s="1"/>
  <c r="E102" i="19"/>
  <c r="H102" i="19"/>
  <c r="G102" i="19" s="1"/>
  <c r="D103" i="19"/>
  <c r="F102" i="19"/>
  <c r="L101" i="19" l="1"/>
  <c r="J101" i="19"/>
  <c r="N101" i="19"/>
  <c r="K101" i="19"/>
  <c r="O101" i="19"/>
  <c r="I102" i="19"/>
  <c r="H103" i="19"/>
  <c r="G103" i="19" s="1"/>
  <c r="F103" i="19"/>
  <c r="E103" i="19"/>
  <c r="D104" i="19"/>
  <c r="I103" i="19" l="1"/>
  <c r="K103" i="19" s="1"/>
  <c r="O103" i="19"/>
  <c r="N103" i="19"/>
  <c r="D105" i="19"/>
  <c r="H104" i="19"/>
  <c r="G104" i="19" s="1"/>
  <c r="F104" i="19"/>
  <c r="E104" i="19"/>
  <c r="N102" i="19"/>
  <c r="O102" i="19"/>
  <c r="K102" i="19"/>
  <c r="L102" i="19"/>
  <c r="M102" i="19"/>
  <c r="J102" i="19"/>
  <c r="M103" i="19" l="1"/>
  <c r="J103" i="19"/>
  <c r="L103" i="19"/>
  <c r="H105" i="19"/>
  <c r="G105" i="19" s="1"/>
  <c r="D106" i="19"/>
  <c r="F105" i="19"/>
  <c r="E105" i="19"/>
  <c r="I104" i="19"/>
  <c r="L104" i="19" l="1"/>
  <c r="J104" i="19"/>
  <c r="K104" i="19"/>
  <c r="N104" i="19"/>
  <c r="M104" i="19"/>
  <c r="O104" i="19"/>
  <c r="E106" i="19"/>
  <c r="H106" i="19"/>
  <c r="G106" i="19" s="1"/>
  <c r="D107" i="19"/>
  <c r="F106" i="19"/>
  <c r="I105" i="19"/>
  <c r="I106" i="19" l="1"/>
  <c r="L105" i="19"/>
  <c r="J105" i="19"/>
  <c r="K105" i="19"/>
  <c r="M105" i="19"/>
  <c r="O105" i="19"/>
  <c r="N105" i="19"/>
  <c r="F107" i="19"/>
  <c r="D108" i="19"/>
  <c r="H107" i="19"/>
  <c r="G107" i="19" s="1"/>
  <c r="E107" i="19"/>
  <c r="I107" i="19" l="1"/>
  <c r="K107" i="19" s="1"/>
  <c r="O107" i="19"/>
  <c r="N107" i="19"/>
  <c r="E108" i="19"/>
  <c r="D109" i="19"/>
  <c r="F108" i="19"/>
  <c r="H108" i="19"/>
  <c r="G108" i="19" s="1"/>
  <c r="M106" i="19"/>
  <c r="O106" i="19"/>
  <c r="J106" i="19"/>
  <c r="K106" i="19"/>
  <c r="L106" i="19"/>
  <c r="N106" i="19"/>
  <c r="J107" i="19" l="1"/>
  <c r="M107" i="19"/>
  <c r="L107" i="19"/>
  <c r="I108" i="19"/>
  <c r="L108" i="19" s="1"/>
  <c r="H109" i="19"/>
  <c r="G109" i="19" s="1"/>
  <c r="F109" i="19"/>
  <c r="E109" i="19"/>
  <c r="D110" i="19"/>
  <c r="K108" i="19" l="1"/>
  <c r="O108" i="19"/>
  <c r="M108" i="19"/>
  <c r="J108" i="19"/>
  <c r="I109" i="19"/>
  <c r="L109" i="19" s="1"/>
  <c r="N108" i="19"/>
  <c r="E110" i="19"/>
  <c r="H110" i="19"/>
  <c r="G110" i="19" s="1"/>
  <c r="F110" i="19"/>
  <c r="D111" i="19"/>
  <c r="K109" i="19" l="1"/>
  <c r="M109" i="19"/>
  <c r="O109" i="19"/>
  <c r="N109" i="19"/>
  <c r="J109" i="19"/>
  <c r="I110" i="19"/>
  <c r="M110" i="19" s="1"/>
  <c r="H111" i="19"/>
  <c r="G111" i="19" s="1"/>
  <c r="E111" i="19"/>
  <c r="F111" i="19"/>
  <c r="D112" i="19"/>
  <c r="K110" i="19" l="1"/>
  <c r="N110" i="19"/>
  <c r="L110" i="19"/>
  <c r="O110" i="19"/>
  <c r="J110" i="19"/>
  <c r="I111" i="19"/>
  <c r="E112" i="19"/>
  <c r="H112" i="19"/>
  <c r="G112" i="19" s="1"/>
  <c r="F112" i="19"/>
  <c r="D113" i="19"/>
  <c r="I112" i="19" l="1"/>
  <c r="J112" i="19" s="1"/>
  <c r="F113" i="19"/>
  <c r="H113" i="19"/>
  <c r="G113" i="19" s="1"/>
  <c r="D114" i="19"/>
  <c r="E113" i="19"/>
  <c r="J111" i="19"/>
  <c r="N111" i="19"/>
  <c r="M111" i="19"/>
  <c r="K111" i="19"/>
  <c r="O111" i="19"/>
  <c r="L111" i="19"/>
  <c r="N112" i="19" l="1"/>
  <c r="O112" i="19"/>
  <c r="K112" i="19"/>
  <c r="M112" i="19"/>
  <c r="L112" i="19"/>
  <c r="I113" i="19"/>
  <c r="E114" i="19"/>
  <c r="F114" i="19"/>
  <c r="H114" i="19"/>
  <c r="G114" i="19" s="1"/>
  <c r="D115" i="19"/>
  <c r="I114" i="19" l="1"/>
  <c r="M114" i="19" s="1"/>
  <c r="N114" i="19"/>
  <c r="L114" i="19"/>
  <c r="J114" i="19"/>
  <c r="K114" i="19"/>
  <c r="O114" i="19"/>
  <c r="E115" i="19"/>
  <c r="F115" i="19"/>
  <c r="D116" i="19"/>
  <c r="H115" i="19"/>
  <c r="G115" i="19" s="1"/>
  <c r="J113" i="19"/>
  <c r="L113" i="19"/>
  <c r="K113" i="19"/>
  <c r="N113" i="19"/>
  <c r="O113" i="19"/>
  <c r="M113" i="19"/>
  <c r="I115" i="19" l="1"/>
  <c r="L115" i="19" s="1"/>
  <c r="F116" i="19"/>
  <c r="E116" i="19"/>
  <c r="D117" i="19"/>
  <c r="H116" i="19"/>
  <c r="G116" i="19" s="1"/>
  <c r="N115" i="19" l="1"/>
  <c r="O115" i="19"/>
  <c r="M115" i="19"/>
  <c r="K115" i="19"/>
  <c r="J115" i="19"/>
  <c r="F117" i="19"/>
  <c r="E117" i="19"/>
  <c r="H117" i="19"/>
  <c r="G117" i="19" s="1"/>
  <c r="D118" i="19"/>
  <c r="I116" i="19"/>
  <c r="I117" i="19" l="1"/>
  <c r="M117" i="19" s="1"/>
  <c r="L116" i="19"/>
  <c r="J116" i="19"/>
  <c r="M116" i="19"/>
  <c r="O116" i="19"/>
  <c r="N116" i="19"/>
  <c r="K116" i="19"/>
  <c r="E118" i="19"/>
  <c r="D119" i="19"/>
  <c r="H118" i="19"/>
  <c r="G118" i="19" s="1"/>
  <c r="F118" i="19"/>
  <c r="O117" i="19" l="1"/>
  <c r="J117" i="19"/>
  <c r="N117" i="19"/>
  <c r="K117" i="19"/>
  <c r="L117" i="19"/>
  <c r="I118" i="19"/>
  <c r="L118" i="19" s="1"/>
  <c r="H119" i="19"/>
  <c r="G119" i="19" s="1"/>
  <c r="F119" i="19"/>
  <c r="D120" i="19"/>
  <c r="E119" i="19"/>
  <c r="J118" i="19" l="1"/>
  <c r="O118" i="19"/>
  <c r="K118" i="19"/>
  <c r="N118" i="19"/>
  <c r="M118" i="19"/>
  <c r="I119" i="19"/>
  <c r="H120" i="19"/>
  <c r="G120" i="19" s="1"/>
  <c r="D121" i="19"/>
  <c r="E120" i="19"/>
  <c r="F120" i="19"/>
  <c r="I120" i="19" l="1"/>
  <c r="O120" i="19" s="1"/>
  <c r="D122" i="19"/>
  <c r="F121" i="19"/>
  <c r="E121" i="19"/>
  <c r="H121" i="19"/>
  <c r="G121" i="19" s="1"/>
  <c r="N119" i="19"/>
  <c r="J119" i="19"/>
  <c r="L119" i="19"/>
  <c r="M119" i="19"/>
  <c r="K119" i="19"/>
  <c r="O119" i="19"/>
  <c r="M120" i="19" l="1"/>
  <c r="I121" i="19"/>
  <c r="J121" i="19" s="1"/>
  <c r="L120" i="19"/>
  <c r="K120" i="19"/>
  <c r="J120" i="19"/>
  <c r="N120" i="19"/>
  <c r="D123" i="19"/>
  <c r="E122" i="19"/>
  <c r="F122" i="19"/>
  <c r="H122" i="19"/>
  <c r="G122" i="19" s="1"/>
  <c r="L121" i="19"/>
  <c r="K121" i="19"/>
  <c r="O121" i="19" l="1"/>
  <c r="N121" i="19"/>
  <c r="M121" i="19"/>
  <c r="I122" i="19"/>
  <c r="L122" i="19" s="1"/>
  <c r="H123" i="19"/>
  <c r="G123" i="19" s="1"/>
  <c r="F123" i="19"/>
  <c r="E123" i="19"/>
  <c r="D124" i="19"/>
  <c r="K122" i="19" l="1"/>
  <c r="J122" i="19"/>
  <c r="O122" i="19"/>
  <c r="N122" i="19"/>
  <c r="M122" i="19"/>
  <c r="I123" i="19"/>
  <c r="D125" i="19"/>
  <c r="F124" i="19"/>
  <c r="E124" i="19"/>
  <c r="H124" i="19"/>
  <c r="G124" i="19" s="1"/>
  <c r="I124" i="19" l="1"/>
  <c r="O124" i="19" s="1"/>
  <c r="N124" i="19"/>
  <c r="J124" i="19"/>
  <c r="M124" i="19"/>
  <c r="K124" i="19"/>
  <c r="H125" i="19"/>
  <c r="G125" i="19" s="1"/>
  <c r="E125" i="19"/>
  <c r="D126" i="19"/>
  <c r="F125" i="19"/>
  <c r="K123" i="19"/>
  <c r="O123" i="19"/>
  <c r="L123" i="19"/>
  <c r="N123" i="19"/>
  <c r="M123" i="19"/>
  <c r="J123" i="19"/>
  <c r="L124" i="19" l="1"/>
  <c r="I125" i="19"/>
  <c r="H126" i="19"/>
  <c r="G126" i="19" s="1"/>
  <c r="E126" i="19"/>
  <c r="D127" i="19"/>
  <c r="F126" i="19"/>
  <c r="I126" i="19" l="1"/>
  <c r="N126" i="19" s="1"/>
  <c r="K126" i="19"/>
  <c r="O126" i="19"/>
  <c r="J126" i="19"/>
  <c r="M126" i="19"/>
  <c r="L126" i="19"/>
  <c r="E127" i="19"/>
  <c r="F127" i="19"/>
  <c r="D128" i="19"/>
  <c r="H127" i="19"/>
  <c r="G127" i="19" s="1"/>
  <c r="K125" i="19"/>
  <c r="N125" i="19"/>
  <c r="L125" i="19"/>
  <c r="O125" i="19"/>
  <c r="J125" i="19"/>
  <c r="M125" i="19"/>
  <c r="D129" i="19" l="1"/>
  <c r="E128" i="19"/>
  <c r="F128" i="19"/>
  <c r="H128" i="19"/>
  <c r="G128" i="19" s="1"/>
  <c r="I127" i="19"/>
  <c r="I128" i="19" l="1"/>
  <c r="K128" i="19"/>
  <c r="O128" i="19"/>
  <c r="M128" i="19"/>
  <c r="J128" i="19"/>
  <c r="L128" i="19"/>
  <c r="N128" i="19"/>
  <c r="N127" i="19"/>
  <c r="O127" i="19"/>
  <c r="J127" i="19"/>
  <c r="M127" i="19"/>
  <c r="L127" i="19"/>
  <c r="K127" i="19"/>
  <c r="E129" i="19"/>
  <c r="H129" i="19"/>
  <c r="G129" i="19" s="1"/>
  <c r="D130" i="19"/>
  <c r="F129" i="19"/>
  <c r="H130" i="19" l="1"/>
  <c r="G130" i="19" s="1"/>
  <c r="D131" i="19"/>
  <c r="E130" i="19"/>
  <c r="F130" i="19"/>
  <c r="I129" i="19"/>
  <c r="I130" i="19" l="1"/>
  <c r="H131" i="19"/>
  <c r="G131" i="19" s="1"/>
  <c r="E131" i="19"/>
  <c r="F131" i="19"/>
  <c r="D132" i="19"/>
  <c r="I131" i="19"/>
  <c r="M129" i="19"/>
  <c r="N129" i="19"/>
  <c r="L129" i="19"/>
  <c r="K129" i="19"/>
  <c r="O129" i="19"/>
  <c r="J129" i="19"/>
  <c r="K130" i="19"/>
  <c r="M130" i="19"/>
  <c r="L130" i="19"/>
  <c r="O130" i="19"/>
  <c r="N130" i="19"/>
  <c r="J130" i="19"/>
  <c r="D133" i="19" l="1"/>
  <c r="E132" i="19"/>
  <c r="F132" i="19"/>
  <c r="H132" i="19"/>
  <c r="G132" i="19" s="1"/>
  <c r="J131" i="19"/>
  <c r="K131" i="19"/>
  <c r="N131" i="19"/>
  <c r="O131" i="19"/>
  <c r="L131" i="19"/>
  <c r="M131" i="19"/>
  <c r="I132" i="19" l="1"/>
  <c r="D134" i="19"/>
  <c r="F133" i="19"/>
  <c r="E133" i="19"/>
  <c r="H133" i="19"/>
  <c r="G133" i="19" s="1"/>
  <c r="I133" i="19" l="1"/>
  <c r="D135" i="19"/>
  <c r="F134" i="19"/>
  <c r="H134" i="19"/>
  <c r="G134" i="19" s="1"/>
  <c r="E134" i="19"/>
  <c r="K132" i="19"/>
  <c r="M132" i="19"/>
  <c r="L132" i="19"/>
  <c r="O132" i="19"/>
  <c r="N132" i="19"/>
  <c r="J132" i="19"/>
  <c r="I134" i="19" l="1"/>
  <c r="M134" i="19" s="1"/>
  <c r="N134" i="19"/>
  <c r="O134" i="19"/>
  <c r="J134" i="19"/>
  <c r="K134" i="19"/>
  <c r="H135" i="19"/>
  <c r="G135" i="19" s="1"/>
  <c r="E135" i="19"/>
  <c r="F135" i="19"/>
  <c r="D136" i="19"/>
  <c r="N133" i="19"/>
  <c r="O133" i="19"/>
  <c r="K133" i="19"/>
  <c r="J133" i="19"/>
  <c r="L133" i="19"/>
  <c r="M133" i="19"/>
  <c r="L134" i="19" l="1"/>
  <c r="F136" i="19"/>
  <c r="D137" i="19"/>
  <c r="H136" i="19"/>
  <c r="G136" i="19" s="1"/>
  <c r="E136" i="19"/>
  <c r="I135" i="19"/>
  <c r="I136" i="19" l="1"/>
  <c r="M136" i="19" s="1"/>
  <c r="O135" i="19"/>
  <c r="K135" i="19"/>
  <c r="M135" i="19"/>
  <c r="N135" i="19"/>
  <c r="J135" i="19"/>
  <c r="L135" i="19"/>
  <c r="N136" i="19"/>
  <c r="J136" i="19"/>
  <c r="F137" i="19"/>
  <c r="H137" i="19"/>
  <c r="G137" i="19" s="1"/>
  <c r="E137" i="19"/>
  <c r="D138" i="19"/>
  <c r="O136" i="19" l="1"/>
  <c r="L136" i="19"/>
  <c r="K136" i="19"/>
  <c r="F138" i="19"/>
  <c r="E138" i="19"/>
  <c r="D139" i="19"/>
  <c r="H138" i="19"/>
  <c r="G138" i="19" s="1"/>
  <c r="I137" i="19"/>
  <c r="I138" i="19" l="1"/>
  <c r="N138" i="19" s="1"/>
  <c r="K138" i="19"/>
  <c r="O138" i="19"/>
  <c r="M138" i="19"/>
  <c r="H139" i="19"/>
  <c r="G139" i="19" s="1"/>
  <c r="F139" i="19"/>
  <c r="E139" i="19"/>
  <c r="D140" i="19"/>
  <c r="O137" i="19"/>
  <c r="N137" i="19"/>
  <c r="K137" i="19"/>
  <c r="L137" i="19"/>
  <c r="J137" i="19"/>
  <c r="M137" i="19"/>
  <c r="L138" i="19" l="1"/>
  <c r="J138" i="19"/>
  <c r="I139" i="19"/>
  <c r="F140" i="19"/>
  <c r="H140" i="19"/>
  <c r="G140" i="19" s="1"/>
  <c r="D141" i="19"/>
  <c r="E140" i="19"/>
  <c r="I140" i="19" l="1"/>
  <c r="L140" i="19" s="1"/>
  <c r="E141" i="19"/>
  <c r="F141" i="19"/>
  <c r="D142" i="19"/>
  <c r="H141" i="19"/>
  <c r="G141" i="19" s="1"/>
  <c r="K140" i="19"/>
  <c r="N140" i="19"/>
  <c r="J140" i="19"/>
  <c r="O140" i="19"/>
  <c r="N139" i="19"/>
  <c r="J139" i="19"/>
  <c r="O139" i="19"/>
  <c r="K139" i="19"/>
  <c r="L139" i="19"/>
  <c r="M139" i="19"/>
  <c r="M140" i="19" l="1"/>
  <c r="I141" i="19"/>
  <c r="N141" i="19" s="1"/>
  <c r="E142" i="19"/>
  <c r="D143" i="19"/>
  <c r="F142" i="19"/>
  <c r="H142" i="19"/>
  <c r="G142" i="19" s="1"/>
  <c r="O141" i="19" l="1"/>
  <c r="J141" i="19"/>
  <c r="M141" i="19"/>
  <c r="K141" i="19"/>
  <c r="L141" i="19"/>
  <c r="I142" i="19"/>
  <c r="N142" i="19" s="1"/>
  <c r="F143" i="19"/>
  <c r="H143" i="19"/>
  <c r="G143" i="19" s="1"/>
  <c r="E143" i="19"/>
  <c r="D144" i="19"/>
  <c r="J142" i="19" l="1"/>
  <c r="L142" i="19"/>
  <c r="M142" i="19"/>
  <c r="O142" i="19"/>
  <c r="I143" i="19"/>
  <c r="L143" i="19" s="1"/>
  <c r="K142" i="19"/>
  <c r="H144" i="19"/>
  <c r="G144" i="19" s="1"/>
  <c r="E144" i="19"/>
  <c r="F144" i="19"/>
  <c r="D145" i="19"/>
  <c r="O143" i="19" l="1"/>
  <c r="K143" i="19"/>
  <c r="N143" i="19"/>
  <c r="J143" i="19"/>
  <c r="M143" i="19"/>
  <c r="E145" i="19"/>
  <c r="F145" i="19"/>
  <c r="D146" i="19"/>
  <c r="H145" i="19"/>
  <c r="G145" i="19" s="1"/>
  <c r="I144" i="19"/>
  <c r="I145" i="19" l="1"/>
  <c r="K145" i="19" s="1"/>
  <c r="F146" i="19"/>
  <c r="D147" i="19"/>
  <c r="H146" i="19"/>
  <c r="G146" i="19" s="1"/>
  <c r="E146" i="19"/>
  <c r="J144" i="19"/>
  <c r="N144" i="19"/>
  <c r="K144" i="19"/>
  <c r="M144" i="19"/>
  <c r="L144" i="19"/>
  <c r="O144" i="19"/>
  <c r="J145" i="19" l="1"/>
  <c r="N145" i="19"/>
  <c r="L145" i="19"/>
  <c r="M145" i="19"/>
  <c r="I146" i="19"/>
  <c r="K146" i="19" s="1"/>
  <c r="O145" i="19"/>
  <c r="E147" i="19"/>
  <c r="F147" i="19"/>
  <c r="H147" i="19"/>
  <c r="G147" i="19" s="1"/>
  <c r="D148" i="19"/>
  <c r="O146" i="19" l="1"/>
  <c r="M146" i="19"/>
  <c r="L146" i="19"/>
  <c r="J146" i="19"/>
  <c r="N146" i="19"/>
  <c r="I147" i="19"/>
  <c r="L147" i="19" s="1"/>
  <c r="H148" i="19"/>
  <c r="G148" i="19" s="1"/>
  <c r="E148" i="19"/>
  <c r="D149" i="19"/>
  <c r="F148" i="19"/>
  <c r="K147" i="19" l="1"/>
  <c r="O147" i="19"/>
  <c r="J147" i="19"/>
  <c r="N147" i="19"/>
  <c r="M147" i="19"/>
  <c r="I148" i="19"/>
  <c r="F149" i="19"/>
  <c r="D150" i="19"/>
  <c r="E149" i="19"/>
  <c r="H149" i="19"/>
  <c r="G149" i="19" s="1"/>
  <c r="I149" i="19" l="1"/>
  <c r="L149" i="19" s="1"/>
  <c r="D151" i="19"/>
  <c r="H150" i="19"/>
  <c r="G150" i="19" s="1"/>
  <c r="E150" i="19"/>
  <c r="F150" i="19"/>
  <c r="M149" i="19"/>
  <c r="J149" i="19"/>
  <c r="N149" i="19"/>
  <c r="O149" i="19"/>
  <c r="L148" i="19"/>
  <c r="N148" i="19"/>
  <c r="K148" i="19"/>
  <c r="M148" i="19"/>
  <c r="J148" i="19"/>
  <c r="O148" i="19"/>
  <c r="K149" i="19" l="1"/>
  <c r="I150" i="19"/>
  <c r="J150" i="19" s="1"/>
  <c r="E151" i="19"/>
  <c r="F151" i="19"/>
  <c r="D152" i="19"/>
  <c r="H151" i="19"/>
  <c r="G151" i="19" s="1"/>
  <c r="K150" i="19" l="1"/>
  <c r="M150" i="19"/>
  <c r="N150" i="19"/>
  <c r="L150" i="19"/>
  <c r="O150" i="19"/>
  <c r="I151" i="19"/>
  <c r="J151" i="19" s="1"/>
  <c r="F152" i="19"/>
  <c r="D153" i="19"/>
  <c r="E152" i="19"/>
  <c r="H152" i="19"/>
  <c r="G152" i="19" s="1"/>
  <c r="O151" i="19" l="1"/>
  <c r="M151" i="19"/>
  <c r="L151" i="19"/>
  <c r="I152" i="19"/>
  <c r="L152" i="19" s="1"/>
  <c r="N151" i="19"/>
  <c r="K151" i="19"/>
  <c r="E153" i="19"/>
  <c r="H153" i="19"/>
  <c r="G153" i="19" s="1"/>
  <c r="D154" i="19"/>
  <c r="F153" i="19"/>
  <c r="O152" i="19" l="1"/>
  <c r="J152" i="19"/>
  <c r="N152" i="19"/>
  <c r="I153" i="19"/>
  <c r="N153" i="19" s="1"/>
  <c r="M152" i="19"/>
  <c r="K152" i="19"/>
  <c r="H154" i="19"/>
  <c r="G154" i="19" s="1"/>
  <c r="F154" i="19"/>
  <c r="D155" i="19"/>
  <c r="E154" i="19"/>
  <c r="J153" i="19" l="1"/>
  <c r="O153" i="19"/>
  <c r="M153" i="19"/>
  <c r="K153" i="19"/>
  <c r="L153" i="19"/>
  <c r="I154" i="19"/>
  <c r="M154" i="19" s="1"/>
  <c r="E155" i="19"/>
  <c r="F155" i="19"/>
  <c r="H155" i="19"/>
  <c r="G155" i="19" s="1"/>
  <c r="D156" i="19"/>
  <c r="I155" i="19" l="1"/>
  <c r="J155" i="19" s="1"/>
  <c r="O154" i="19"/>
  <c r="J154" i="19"/>
  <c r="L154" i="19"/>
  <c r="K154" i="19"/>
  <c r="N154" i="19"/>
  <c r="K155" i="19"/>
  <c r="M155" i="19"/>
  <c r="N155" i="19"/>
  <c r="O155" i="19"/>
  <c r="F156" i="19"/>
  <c r="H156" i="19"/>
  <c r="G156" i="19" s="1"/>
  <c r="E156" i="19"/>
  <c r="D157" i="19"/>
  <c r="L155" i="19" l="1"/>
  <c r="I156" i="19"/>
  <c r="E157" i="19"/>
  <c r="F157" i="19"/>
  <c r="H157" i="19"/>
  <c r="G157" i="19" s="1"/>
  <c r="D158" i="19"/>
  <c r="I157" i="19" l="1"/>
  <c r="K157" i="19" s="1"/>
  <c r="H158" i="19"/>
  <c r="G158" i="19" s="1"/>
  <c r="F158" i="19"/>
  <c r="E158" i="19"/>
  <c r="D159" i="19"/>
  <c r="N156" i="19"/>
  <c r="M156" i="19"/>
  <c r="J156" i="19"/>
  <c r="L156" i="19"/>
  <c r="K156" i="19"/>
  <c r="O156" i="19"/>
  <c r="O157" i="19" l="1"/>
  <c r="M157" i="19"/>
  <c r="N157" i="19"/>
  <c r="L157" i="19"/>
  <c r="J157" i="19"/>
  <c r="I158" i="19"/>
  <c r="L158" i="19" s="1"/>
  <c r="H159" i="19"/>
  <c r="G159" i="19" s="1"/>
  <c r="D160" i="19"/>
  <c r="E159" i="19"/>
  <c r="F159" i="19"/>
  <c r="N158" i="19" l="1"/>
  <c r="J158" i="19"/>
  <c r="M158" i="19"/>
  <c r="K158" i="19"/>
  <c r="O158" i="19"/>
  <c r="H160" i="19"/>
  <c r="G160" i="19" s="1"/>
  <c r="E160" i="19"/>
  <c r="F160" i="19"/>
  <c r="D161" i="19"/>
  <c r="I159" i="19"/>
  <c r="I160" i="19" l="1"/>
  <c r="O160" i="19" s="1"/>
  <c r="L159" i="19"/>
  <c r="O159" i="19"/>
  <c r="K159" i="19"/>
  <c r="M159" i="19"/>
  <c r="J159" i="19"/>
  <c r="N159" i="19"/>
  <c r="D162" i="19"/>
  <c r="E161" i="19"/>
  <c r="F161" i="19"/>
  <c r="H161" i="19"/>
  <c r="G161" i="19" s="1"/>
  <c r="L160" i="19" l="1"/>
  <c r="N160" i="19"/>
  <c r="K160" i="19"/>
  <c r="J160" i="19"/>
  <c r="M160" i="19"/>
  <c r="I161" i="19"/>
  <c r="J161" i="19" s="1"/>
  <c r="E162" i="19"/>
  <c r="F162" i="19"/>
  <c r="H162" i="19"/>
  <c r="G162" i="19" s="1"/>
  <c r="D163" i="19"/>
  <c r="O161" i="19" l="1"/>
  <c r="L161" i="19"/>
  <c r="K161" i="19"/>
  <c r="N161" i="19"/>
  <c r="M161" i="19"/>
  <c r="I162" i="19"/>
  <c r="N162" i="19" s="1"/>
  <c r="H163" i="19"/>
  <c r="G163" i="19" s="1"/>
  <c r="E163" i="19"/>
  <c r="F163" i="19"/>
  <c r="D164" i="19"/>
  <c r="M162" i="19" l="1"/>
  <c r="J162" i="19"/>
  <c r="K162" i="19"/>
  <c r="L162" i="19"/>
  <c r="O162" i="19"/>
  <c r="I163" i="19"/>
  <c r="E164" i="19"/>
  <c r="H164" i="19"/>
  <c r="G164" i="19" s="1"/>
  <c r="F164" i="19"/>
  <c r="D165" i="19"/>
  <c r="I164" i="19" l="1"/>
  <c r="J164" i="19" s="1"/>
  <c r="D166" i="19"/>
  <c r="E165" i="19"/>
  <c r="F165" i="19"/>
  <c r="H165" i="19"/>
  <c r="G165" i="19" s="1"/>
  <c r="L164" i="19"/>
  <c r="O164" i="19"/>
  <c r="K164" i="19"/>
  <c r="N164" i="19"/>
  <c r="J163" i="19"/>
  <c r="K163" i="19"/>
  <c r="L163" i="19"/>
  <c r="O163" i="19"/>
  <c r="M163" i="19"/>
  <c r="N163" i="19"/>
  <c r="M164" i="19" l="1"/>
  <c r="F166" i="19"/>
  <c r="E166" i="19"/>
  <c r="H166" i="19"/>
  <c r="G166" i="19" s="1"/>
  <c r="D167" i="19"/>
  <c r="I165" i="19"/>
  <c r="I166" i="19" l="1"/>
  <c r="L166" i="19" s="1"/>
  <c r="E167" i="19"/>
  <c r="F167" i="19"/>
  <c r="H167" i="19"/>
  <c r="G167" i="19" s="1"/>
  <c r="D168" i="19"/>
  <c r="K165" i="19"/>
  <c r="J165" i="19"/>
  <c r="L165" i="19"/>
  <c r="N165" i="19"/>
  <c r="O165" i="19"/>
  <c r="M165" i="19"/>
  <c r="O166" i="19" l="1"/>
  <c r="J166" i="19"/>
  <c r="K166" i="19"/>
  <c r="N166" i="19"/>
  <c r="M166" i="19"/>
  <c r="I167" i="19"/>
  <c r="O167" i="19" s="1"/>
  <c r="E168" i="19"/>
  <c r="F168" i="19"/>
  <c r="D169" i="19"/>
  <c r="H168" i="19"/>
  <c r="G168" i="19" s="1"/>
  <c r="K167" i="19" l="1"/>
  <c r="N167" i="19"/>
  <c r="M167" i="19"/>
  <c r="L167" i="19"/>
  <c r="J167" i="19"/>
  <c r="I168" i="19"/>
  <c r="N168" i="19" s="1"/>
  <c r="F169" i="19"/>
  <c r="D170" i="19"/>
  <c r="E169" i="19"/>
  <c r="H169" i="19"/>
  <c r="G169" i="19" s="1"/>
  <c r="K168" i="19" l="1"/>
  <c r="O168" i="19"/>
  <c r="M168" i="19"/>
  <c r="J168" i="19"/>
  <c r="L168" i="19"/>
  <c r="I169" i="19"/>
  <c r="O169" i="19" s="1"/>
  <c r="F170" i="19"/>
  <c r="H170" i="19"/>
  <c r="G170" i="19" s="1"/>
  <c r="E170" i="19"/>
  <c r="D171" i="19"/>
  <c r="N169" i="19" l="1"/>
  <c r="M169" i="19"/>
  <c r="K169" i="19"/>
  <c r="J169" i="19"/>
  <c r="L169" i="19"/>
  <c r="I170" i="19"/>
  <c r="J170" i="19" s="1"/>
  <c r="F171" i="19"/>
  <c r="H171" i="19"/>
  <c r="G171" i="19" s="1"/>
  <c r="D172" i="19"/>
  <c r="E171" i="19"/>
  <c r="L170" i="19" l="1"/>
  <c r="N170" i="19"/>
  <c r="O170" i="19"/>
  <c r="K170" i="19"/>
  <c r="M170" i="19"/>
  <c r="I171" i="19"/>
  <c r="D173" i="19"/>
  <c r="H172" i="19"/>
  <c r="G172" i="19" s="1"/>
  <c r="E172" i="19"/>
  <c r="F172" i="19"/>
  <c r="I172" i="19" l="1"/>
  <c r="L172" i="19" s="1"/>
  <c r="H173" i="19"/>
  <c r="G173" i="19" s="1"/>
  <c r="D174" i="19"/>
  <c r="E173" i="19"/>
  <c r="F173" i="19"/>
  <c r="J171" i="19"/>
  <c r="N171" i="19"/>
  <c r="L171" i="19"/>
  <c r="K171" i="19"/>
  <c r="O171" i="19"/>
  <c r="M171" i="19"/>
  <c r="N172" i="19" l="1"/>
  <c r="J172" i="19"/>
  <c r="K172" i="19"/>
  <c r="M172" i="19"/>
  <c r="O172" i="19"/>
  <c r="I173" i="19"/>
  <c r="E174" i="19"/>
  <c r="F174" i="19"/>
  <c r="H174" i="19"/>
  <c r="G174" i="19" s="1"/>
  <c r="D175" i="19"/>
  <c r="D176" i="19" l="1"/>
  <c r="E175" i="19"/>
  <c r="F175" i="19"/>
  <c r="H175" i="19"/>
  <c r="G175" i="19" s="1"/>
  <c r="I174" i="19"/>
  <c r="O173" i="19"/>
  <c r="L173" i="19"/>
  <c r="N173" i="19"/>
  <c r="K173" i="19"/>
  <c r="M173" i="19"/>
  <c r="J173" i="19"/>
  <c r="O174" i="19" l="1"/>
  <c r="N174" i="19"/>
  <c r="M174" i="19"/>
  <c r="L174" i="19"/>
  <c r="J174" i="19"/>
  <c r="K174" i="19"/>
  <c r="I175" i="19"/>
  <c r="E176" i="19"/>
  <c r="D177" i="19"/>
  <c r="H176" i="19"/>
  <c r="G176" i="19" s="1"/>
  <c r="F176" i="19"/>
  <c r="I176" i="19" l="1"/>
  <c r="J176" i="19" s="1"/>
  <c r="K175" i="19"/>
  <c r="L175" i="19"/>
  <c r="J175" i="19"/>
  <c r="M175" i="19"/>
  <c r="N175" i="19"/>
  <c r="O175" i="19"/>
  <c r="K176" i="19"/>
  <c r="O176" i="19"/>
  <c r="L176" i="19"/>
  <c r="M176" i="19"/>
  <c r="N176" i="19"/>
  <c r="H177" i="19"/>
  <c r="G177" i="19" s="1"/>
  <c r="E177" i="19"/>
  <c r="F177" i="19"/>
  <c r="D178" i="19"/>
  <c r="F178" i="19" l="1"/>
  <c r="E178" i="19"/>
  <c r="D179" i="19"/>
  <c r="H178" i="19"/>
  <c r="G178" i="19" s="1"/>
  <c r="I177" i="19"/>
  <c r="I178" i="19" l="1"/>
  <c r="K177" i="19"/>
  <c r="J177" i="19"/>
  <c r="N177" i="19"/>
  <c r="O177" i="19"/>
  <c r="M177" i="19"/>
  <c r="L177" i="19"/>
  <c r="F179" i="19"/>
  <c r="D180" i="19"/>
  <c r="E179" i="19"/>
  <c r="H179" i="19"/>
  <c r="G179" i="19" s="1"/>
  <c r="I179" i="19" l="1"/>
  <c r="D181" i="19"/>
  <c r="H180" i="19"/>
  <c r="G180" i="19" s="1"/>
  <c r="E180" i="19"/>
  <c r="F180" i="19"/>
  <c r="N178" i="19"/>
  <c r="L178" i="19"/>
  <c r="M178" i="19"/>
  <c r="J178" i="19"/>
  <c r="K178" i="19"/>
  <c r="O178" i="19"/>
  <c r="I180" i="19" l="1"/>
  <c r="L180" i="19" s="1"/>
  <c r="H181" i="19"/>
  <c r="G181" i="19" s="1"/>
  <c r="D182" i="19"/>
  <c r="E181" i="19"/>
  <c r="F181" i="19"/>
  <c r="K179" i="19"/>
  <c r="L179" i="19"/>
  <c r="M179" i="19"/>
  <c r="N179" i="19"/>
  <c r="J179" i="19"/>
  <c r="O179" i="19"/>
  <c r="J180" i="19" l="1"/>
  <c r="N180" i="19"/>
  <c r="M180" i="19"/>
  <c r="O180" i="19"/>
  <c r="K180" i="19"/>
  <c r="E182" i="19"/>
  <c r="H182" i="19"/>
  <c r="G182" i="19" s="1"/>
  <c r="F182" i="19"/>
  <c r="D183" i="19"/>
  <c r="I181" i="19"/>
  <c r="I182" i="19" l="1"/>
  <c r="M181" i="19"/>
  <c r="J181" i="19"/>
  <c r="N181" i="19"/>
  <c r="O181" i="19"/>
  <c r="L181" i="19"/>
  <c r="K181" i="19"/>
  <c r="K182" i="19"/>
  <c r="M182" i="19"/>
  <c r="J182" i="19"/>
  <c r="N182" i="19"/>
  <c r="L182" i="19"/>
  <c r="O182" i="19"/>
  <c r="E183" i="19"/>
  <c r="H183" i="19"/>
  <c r="G183" i="19" s="1"/>
  <c r="D184" i="19"/>
  <c r="F183" i="19"/>
  <c r="F184" i="19" l="1"/>
  <c r="H184" i="19"/>
  <c r="G184" i="19" s="1"/>
  <c r="E184" i="19"/>
  <c r="D185" i="19"/>
  <c r="I183" i="19"/>
  <c r="I184" i="19" l="1"/>
  <c r="K183" i="19"/>
  <c r="J183" i="19"/>
  <c r="M183" i="19"/>
  <c r="O183" i="19"/>
  <c r="L183" i="19"/>
  <c r="N183" i="19"/>
  <c r="M184" i="19"/>
  <c r="O184" i="19"/>
  <c r="N184" i="19"/>
  <c r="L184" i="19"/>
  <c r="J184" i="19"/>
  <c r="K184" i="19"/>
  <c r="H185" i="19"/>
  <c r="G185" i="19" s="1"/>
  <c r="D186" i="19"/>
  <c r="F185" i="19"/>
  <c r="E185" i="19"/>
  <c r="F186" i="19" l="1"/>
  <c r="H186" i="19"/>
  <c r="G186" i="19" s="1"/>
  <c r="D187" i="19"/>
  <c r="E186" i="19"/>
  <c r="I185" i="19"/>
  <c r="I186" i="19" l="1"/>
  <c r="O185" i="19"/>
  <c r="J185" i="19"/>
  <c r="M185" i="19"/>
  <c r="K185" i="19"/>
  <c r="L185" i="19"/>
  <c r="N185" i="19"/>
  <c r="H187" i="19"/>
  <c r="G187" i="19" s="1"/>
  <c r="E187" i="19"/>
  <c r="D188" i="19"/>
  <c r="F187" i="19"/>
  <c r="M186" i="19"/>
  <c r="N186" i="19"/>
  <c r="K186" i="19"/>
  <c r="O186" i="19"/>
  <c r="L186" i="19"/>
  <c r="J186" i="19"/>
  <c r="E188" i="19" l="1"/>
  <c r="H188" i="19"/>
  <c r="G188" i="19" s="1"/>
  <c r="D189" i="19"/>
  <c r="F188" i="19"/>
  <c r="I187" i="19"/>
  <c r="I188" i="19" l="1"/>
  <c r="K188" i="19" s="1"/>
  <c r="N187" i="19"/>
  <c r="K187" i="19"/>
  <c r="M187" i="19"/>
  <c r="L187" i="19"/>
  <c r="J187" i="19"/>
  <c r="O187" i="19"/>
  <c r="O188" i="19"/>
  <c r="M188" i="19"/>
  <c r="J188" i="19"/>
  <c r="N188" i="19"/>
  <c r="L188" i="19"/>
  <c r="E189" i="19"/>
  <c r="F189" i="19"/>
  <c r="H189" i="19"/>
  <c r="G189" i="19" s="1"/>
  <c r="D190" i="19"/>
  <c r="I189" i="19" l="1"/>
  <c r="L189" i="19" s="1"/>
  <c r="H190" i="19"/>
  <c r="G190" i="19" s="1"/>
  <c r="D191" i="19"/>
  <c r="E190" i="19"/>
  <c r="F190" i="19"/>
  <c r="N189" i="19" l="1"/>
  <c r="M189" i="19"/>
  <c r="O189" i="19"/>
  <c r="J189" i="19"/>
  <c r="K189" i="19"/>
  <c r="E191" i="19"/>
  <c r="H191" i="19"/>
  <c r="G191" i="19" s="1"/>
  <c r="D192" i="19"/>
  <c r="F191" i="19"/>
  <c r="I190" i="19"/>
  <c r="I191" i="19" l="1"/>
  <c r="F192" i="19"/>
  <c r="E192" i="19"/>
  <c r="D193" i="19"/>
  <c r="H192" i="19"/>
  <c r="G192" i="19" s="1"/>
  <c r="L190" i="19"/>
  <c r="J190" i="19"/>
  <c r="O190" i="19"/>
  <c r="K190" i="19"/>
  <c r="M190" i="19"/>
  <c r="N190" i="19"/>
  <c r="J191" i="19"/>
  <c r="K191" i="19"/>
  <c r="L191" i="19"/>
  <c r="M191" i="19"/>
  <c r="O191" i="19"/>
  <c r="N191" i="19"/>
  <c r="D194" i="19" l="1"/>
  <c r="F193" i="19"/>
  <c r="H193" i="19"/>
  <c r="G193" i="19" s="1"/>
  <c r="E193" i="19"/>
  <c r="I192" i="19"/>
  <c r="I193" i="19" l="1"/>
  <c r="K193" i="19" s="1"/>
  <c r="N193" i="19"/>
  <c r="O193" i="19"/>
  <c r="M193" i="19"/>
  <c r="J193" i="19"/>
  <c r="K192" i="19"/>
  <c r="J192" i="19"/>
  <c r="O192" i="19"/>
  <c r="M192" i="19"/>
  <c r="L192" i="19"/>
  <c r="N192" i="19"/>
  <c r="H194" i="19"/>
  <c r="G194" i="19" s="1"/>
  <c r="D195" i="19"/>
  <c r="F194" i="19"/>
  <c r="E194" i="19"/>
  <c r="L193" i="19" l="1"/>
  <c r="F195" i="19"/>
  <c r="E195" i="19"/>
  <c r="D196" i="19"/>
  <c r="H195" i="19"/>
  <c r="G195" i="19" s="1"/>
  <c r="I194" i="19"/>
  <c r="I195" i="19" l="1"/>
  <c r="O195" i="19"/>
  <c r="N195" i="19"/>
  <c r="K195" i="19"/>
  <c r="J195" i="19"/>
  <c r="M195" i="19"/>
  <c r="L195" i="19"/>
  <c r="H196" i="19"/>
  <c r="G196" i="19" s="1"/>
  <c r="D197" i="19"/>
  <c r="E196" i="19"/>
  <c r="F196" i="19"/>
  <c r="O194" i="19"/>
  <c r="J194" i="19"/>
  <c r="L194" i="19"/>
  <c r="M194" i="19"/>
  <c r="N194" i="19"/>
  <c r="K194" i="19"/>
  <c r="D198" i="19" l="1"/>
  <c r="E197" i="19"/>
  <c r="F197" i="19"/>
  <c r="H197" i="19"/>
  <c r="G197" i="19" s="1"/>
  <c r="I196" i="19"/>
  <c r="M196" i="19" l="1"/>
  <c r="O196" i="19"/>
  <c r="J196" i="19"/>
  <c r="L196" i="19"/>
  <c r="N196" i="19"/>
  <c r="K196" i="19"/>
  <c r="H198" i="19"/>
  <c r="G198" i="19" s="1"/>
  <c r="D199" i="19"/>
  <c r="E198" i="19"/>
  <c r="F198" i="19"/>
  <c r="I197" i="19"/>
  <c r="D200" i="19" l="1"/>
  <c r="H199" i="19"/>
  <c r="G199" i="19" s="1"/>
  <c r="E199" i="19"/>
  <c r="F199" i="19"/>
  <c r="I199" i="19"/>
  <c r="O197" i="19"/>
  <c r="K197" i="19"/>
  <c r="N197" i="19"/>
  <c r="M197" i="19"/>
  <c r="J197" i="19"/>
  <c r="L197" i="19"/>
  <c r="I198" i="19"/>
  <c r="O199" i="19" l="1"/>
  <c r="K199" i="19"/>
  <c r="N199" i="19"/>
  <c r="J199" i="19"/>
  <c r="M199" i="19"/>
  <c r="L199" i="19"/>
  <c r="E200" i="19"/>
  <c r="F200" i="19"/>
  <c r="H200" i="19"/>
  <c r="I200" i="19" s="1"/>
  <c r="D201" i="19"/>
  <c r="L198" i="19"/>
  <c r="M198" i="19"/>
  <c r="J198" i="19"/>
  <c r="O198" i="19"/>
  <c r="N198" i="19"/>
  <c r="K198" i="19"/>
  <c r="M200" i="19" l="1"/>
  <c r="N200" i="19"/>
  <c r="L200" i="19"/>
  <c r="J200" i="19"/>
  <c r="K200" i="19"/>
  <c r="O200" i="19"/>
  <c r="E201" i="19"/>
  <c r="F201" i="19"/>
  <c r="H201" i="19"/>
  <c r="G201" i="19" s="1"/>
  <c r="D202" i="19"/>
  <c r="G200" i="19"/>
  <c r="I201" i="19" l="1"/>
  <c r="H202" i="19"/>
  <c r="I202" i="19" s="1"/>
  <c r="E202" i="19"/>
  <c r="F202" i="19"/>
  <c r="D203" i="19"/>
  <c r="G202" i="19" l="1"/>
  <c r="F203" i="19"/>
  <c r="E203" i="19"/>
  <c r="H203" i="19"/>
  <c r="G203" i="19" s="1"/>
  <c r="D204" i="19"/>
  <c r="M202" i="19"/>
  <c r="L202" i="19"/>
  <c r="O202" i="19"/>
  <c r="K202" i="19"/>
  <c r="J202" i="19"/>
  <c r="N202" i="19"/>
  <c r="K201" i="19"/>
  <c r="M201" i="19"/>
  <c r="N201" i="19"/>
  <c r="O201" i="19"/>
  <c r="L201" i="19"/>
  <c r="J201" i="19"/>
  <c r="I203" i="19" l="1"/>
  <c r="K203" i="19" s="1"/>
  <c r="E204" i="19"/>
  <c r="F204" i="19"/>
  <c r="D205" i="19"/>
  <c r="H204" i="19"/>
  <c r="G204" i="19" s="1"/>
  <c r="J203" i="19" l="1"/>
  <c r="O203" i="19"/>
  <c r="L203" i="19"/>
  <c r="M203" i="19"/>
  <c r="N203" i="19"/>
  <c r="I204" i="19"/>
  <c r="E205" i="19"/>
  <c r="F205" i="19"/>
  <c r="H205" i="19"/>
  <c r="G205" i="19" s="1"/>
  <c r="D206" i="19"/>
  <c r="I205" i="19" l="1"/>
  <c r="K205" i="19" s="1"/>
  <c r="M205" i="19"/>
  <c r="O205" i="19"/>
  <c r="F206" i="19"/>
  <c r="D207" i="19"/>
  <c r="H206" i="19"/>
  <c r="G206" i="19" s="1"/>
  <c r="E206" i="19"/>
  <c r="N204" i="19"/>
  <c r="O204" i="19"/>
  <c r="L204" i="19"/>
  <c r="K204" i="19"/>
  <c r="M204" i="19"/>
  <c r="J204" i="19"/>
  <c r="J205" i="19" l="1"/>
  <c r="L205" i="19"/>
  <c r="N205" i="19"/>
  <c r="I206" i="19"/>
  <c r="J206" i="19" s="1"/>
  <c r="D208" i="19"/>
  <c r="F207" i="19"/>
  <c r="E207" i="19"/>
  <c r="H207" i="19"/>
  <c r="G207" i="19" s="1"/>
  <c r="L206" i="19" l="1"/>
  <c r="K206" i="19"/>
  <c r="M206" i="19"/>
  <c r="N206" i="19"/>
  <c r="O206" i="19"/>
  <c r="I207" i="19"/>
  <c r="F208" i="19"/>
  <c r="E208" i="19"/>
  <c r="D209" i="19"/>
  <c r="H208" i="19"/>
  <c r="G208" i="19" s="1"/>
  <c r="I208" i="19" l="1"/>
  <c r="O208" i="19" s="1"/>
  <c r="F209" i="19"/>
  <c r="D210" i="19"/>
  <c r="H209" i="19"/>
  <c r="G209" i="19" s="1"/>
  <c r="E209" i="19"/>
  <c r="N207" i="19"/>
  <c r="J207" i="19"/>
  <c r="M207" i="19"/>
  <c r="K207" i="19"/>
  <c r="L207" i="19"/>
  <c r="O207" i="19"/>
  <c r="I209" i="19" l="1"/>
  <c r="L209" i="19" s="1"/>
  <c r="K208" i="19"/>
  <c r="N208" i="19"/>
  <c r="M208" i="19"/>
  <c r="L208" i="19"/>
  <c r="J208" i="19"/>
  <c r="K209" i="19"/>
  <c r="O209" i="19"/>
  <c r="N209" i="19"/>
  <c r="H210" i="19"/>
  <c r="G210" i="19" s="1"/>
  <c r="E210" i="19"/>
  <c r="F210" i="19"/>
  <c r="D211" i="19"/>
  <c r="M209" i="19" l="1"/>
  <c r="J209" i="19"/>
  <c r="I210" i="19"/>
  <c r="D212" i="19"/>
  <c r="F211" i="19"/>
  <c r="E211" i="19"/>
  <c r="H211" i="19"/>
  <c r="G211" i="19" s="1"/>
  <c r="D213" i="19" l="1"/>
  <c r="E212" i="19"/>
  <c r="H212" i="19"/>
  <c r="G212" i="19" s="1"/>
  <c r="F212" i="19"/>
  <c r="I211" i="19"/>
  <c r="M210" i="19"/>
  <c r="O210" i="19"/>
  <c r="L210" i="19"/>
  <c r="J210" i="19"/>
  <c r="N210" i="19"/>
  <c r="K210" i="19"/>
  <c r="I212" i="19" l="1"/>
  <c r="J211" i="19"/>
  <c r="C31" i="18" s="1"/>
  <c r="K211" i="19"/>
  <c r="C30" i="18" s="1"/>
  <c r="N211" i="19"/>
  <c r="C33" i="18" s="1"/>
  <c r="O211" i="19"/>
  <c r="C34" i="18" s="1"/>
  <c r="M211" i="19"/>
  <c r="C32" i="18" s="1"/>
  <c r="L211" i="19"/>
  <c r="C29" i="18" s="1"/>
  <c r="E213" i="19"/>
  <c r="H213" i="19"/>
  <c r="F213" i="19"/>
  <c r="I213" i="19" l="1"/>
  <c r="C28" i="18" s="1"/>
  <c r="B8" i="33" s="1"/>
  <c r="B16" i="33" s="1"/>
  <c r="E46" i="18"/>
  <c r="E64" i="18" s="1"/>
  <c r="E65" i="18" s="1"/>
  <c r="E67" i="18" s="1"/>
  <c r="E68" i="18" s="1"/>
  <c r="E69" i="18" s="1"/>
  <c r="E77" i="18" s="1"/>
  <c r="J18" i="18"/>
  <c r="E29" i="18"/>
  <c r="E32" i="18"/>
  <c r="J19" i="18"/>
  <c r="D34" i="18"/>
  <c r="J20" i="18"/>
  <c r="E33" i="18"/>
  <c r="E30" i="18"/>
  <c r="J17" i="18"/>
  <c r="G213" i="19"/>
  <c r="E31" i="18"/>
  <c r="J16" i="18"/>
  <c r="H35" i="18" l="1"/>
  <c r="D28" i="18"/>
  <c r="C35" i="18"/>
  <c r="D35" i="18" s="1"/>
  <c r="H40" i="18" s="1"/>
  <c r="H39" i="18"/>
  <c r="H38" i="18"/>
  <c r="H37" i="18"/>
  <c r="H34" i="18"/>
  <c r="H36" i="18"/>
  <c r="E34" i="18"/>
  <c r="L20" i="18"/>
  <c r="M20" i="18" s="1"/>
  <c r="K20" i="18"/>
  <c r="L16" i="18"/>
  <c r="M16" i="18" s="1"/>
  <c r="C26" i="13"/>
  <c r="K16" i="18"/>
  <c r="E2" i="18" s="1"/>
  <c r="E45" i="18"/>
  <c r="K19" i="18"/>
  <c r="L19" i="18"/>
  <c r="M19" i="18" s="1"/>
  <c r="C8" i="33"/>
  <c r="K17" i="18"/>
  <c r="L17" i="18"/>
  <c r="M17" i="18" s="1"/>
  <c r="L18" i="18"/>
  <c r="M18" i="18" s="1"/>
  <c r="K18" i="18"/>
  <c r="H42" i="18" l="1"/>
  <c r="E35" i="18"/>
  <c r="I23" i="18"/>
  <c r="J22" i="18"/>
  <c r="C28" i="13"/>
  <c r="C27" i="13"/>
  <c r="F75" i="18"/>
  <c r="F77" i="18"/>
  <c r="E26" i="13" l="1"/>
  <c r="K22" i="18"/>
  <c r="I27" i="18"/>
  <c r="D2" i="8"/>
  <c r="I26" i="18"/>
  <c r="M23" i="18"/>
  <c r="D1" i="9"/>
  <c r="I25" i="18"/>
  <c r="I24" i="18"/>
  <c r="M22" i="18" l="1"/>
  <c r="K26" i="18"/>
  <c r="E27" i="13"/>
  <c r="E28" i="13"/>
  <c r="C35" i="13" s="1"/>
  <c r="C36" i="13" l="1"/>
  <c r="E35" i="13"/>
  <c r="C37" i="13"/>
  <c r="C44" i="13" s="1"/>
  <c r="C46" i="13" s="1"/>
  <c r="G31" i="36"/>
  <c r="F33" i="13"/>
  <c r="C31" i="13"/>
  <c r="C34" i="13"/>
  <c r="E34" i="13" l="1"/>
  <c r="C43" i="13"/>
  <c r="B19" i="33" s="1"/>
  <c r="C26" i="36"/>
  <c r="C27" i="36" s="1"/>
  <c r="C28" i="36" s="1"/>
  <c r="C29" i="36" s="1"/>
  <c r="E31" i="36"/>
  <c r="C31" i="36" s="1"/>
  <c r="D13" i="1" l="1"/>
  <c r="D19" i="33"/>
  <c r="D12" i="1"/>
  <c r="E19" i="33"/>
  <c r="D11" i="1" l="1"/>
  <c r="E8" i="18" s="1"/>
  <c r="F8" i="18" s="1"/>
  <c r="C26" i="1"/>
  <c r="B27" i="1"/>
  <c r="C23" i="33"/>
  <c r="B26" i="1"/>
  <c r="D10" i="1"/>
  <c r="F12" i="1"/>
  <c r="F11" i="1" l="1"/>
  <c r="I9" i="1"/>
  <c r="D8" i="1"/>
  <c r="F8" i="1" s="1"/>
  <c r="F10" i="1"/>
</calcChain>
</file>

<file path=xl/sharedStrings.xml><?xml version="1.0" encoding="utf-8"?>
<sst xmlns="http://schemas.openxmlformats.org/spreadsheetml/2006/main" count="1126" uniqueCount="870">
  <si>
    <t>Light Year</t>
  </si>
  <si>
    <t>Accelleration Rate:</t>
  </si>
  <si>
    <t>m</t>
  </si>
  <si>
    <t>m/s/s</t>
  </si>
  <si>
    <t>s</t>
  </si>
  <si>
    <t>year</t>
  </si>
  <si>
    <t>Accelleration</t>
  </si>
  <si>
    <t>Seconds in year</t>
  </si>
  <si>
    <t>G</t>
  </si>
  <si>
    <t>Year</t>
  </si>
  <si>
    <t>Speed of Light</t>
  </si>
  <si>
    <t>Total</t>
  </si>
  <si>
    <t>Soil Depth</t>
  </si>
  <si>
    <t>m^2</t>
  </si>
  <si>
    <t>Beam Capacity</t>
  </si>
  <si>
    <t>Mass per m</t>
  </si>
  <si>
    <t>kg/m</t>
  </si>
  <si>
    <t>Soil Mass</t>
  </si>
  <si>
    <t>Propulsion System</t>
  </si>
  <si>
    <t>Mass of eros</t>
  </si>
  <si>
    <t>million m^2</t>
  </si>
  <si>
    <t>American football fields</t>
  </si>
  <si>
    <t>Acres</t>
  </si>
  <si>
    <t>Square Miles</t>
  </si>
  <si>
    <t>DT</t>
  </si>
  <si>
    <t>Peak</t>
  </si>
  <si>
    <t>Min</t>
  </si>
  <si>
    <t>Final</t>
  </si>
  <si>
    <t>M/F Ratio</t>
  </si>
  <si>
    <t>Survival Rate</t>
  </si>
  <si>
    <t>Children</t>
  </si>
  <si>
    <t>Pop Max</t>
  </si>
  <si>
    <t>Pop Start</t>
  </si>
  <si>
    <t>kg</t>
  </si>
  <si>
    <t>Mass of ceres</t>
  </si>
  <si>
    <t>e = m c^2</t>
  </si>
  <si>
    <t>https://f4e.europa.eu/understandingfusion/merits.aspx</t>
  </si>
  <si>
    <t>Impulse</t>
  </si>
  <si>
    <t>https://www.space.com/37146-nuclear-fusion-rockets-interstellar-spaceflight.html</t>
  </si>
  <si>
    <t>Goal: 1 kW/kg fusion</t>
  </si>
  <si>
    <t>Dry Mass</t>
  </si>
  <si>
    <t>Fuel Mass Estimate</t>
  </si>
  <si>
    <t>Nimitz Class Carriers</t>
  </si>
  <si>
    <t>Agriculture Calculations</t>
  </si>
  <si>
    <t>Graze Area</t>
  </si>
  <si>
    <t>km^2</t>
  </si>
  <si>
    <t>Max Dense</t>
  </si>
  <si>
    <t>Calf</t>
  </si>
  <si>
    <t>Oxen</t>
  </si>
  <si>
    <t>Cow</t>
  </si>
  <si>
    <t>Bull</t>
  </si>
  <si>
    <t>Heifer</t>
  </si>
  <si>
    <t>Year:</t>
  </si>
  <si>
    <t>calf</t>
  </si>
  <si>
    <t>Ox</t>
  </si>
  <si>
    <t>Cultivation</t>
  </si>
  <si>
    <t>https://en.wikipedia.org/wiki/Carucate</t>
  </si>
  <si>
    <t>Total Area:</t>
  </si>
  <si>
    <t>Oxen:</t>
  </si>
  <si>
    <t>https://www.drovers.com/article/breeding-season-bull-management</t>
  </si>
  <si>
    <t>Cows</t>
  </si>
  <si>
    <t>Bulls</t>
  </si>
  <si>
    <t>cow:bull</t>
  </si>
  <si>
    <t>Cull bull</t>
  </si>
  <si>
    <t>Cull Cow</t>
  </si>
  <si>
    <t>Beef Production</t>
  </si>
  <si>
    <t>Cull Ox</t>
  </si>
  <si>
    <t>Delta</t>
  </si>
  <si>
    <t>Harvest</t>
  </si>
  <si>
    <t>Target Population</t>
  </si>
  <si>
    <t>Milk</t>
  </si>
  <si>
    <t>Cow/Bull Ratio</t>
  </si>
  <si>
    <t>Steer</t>
  </si>
  <si>
    <t>Target Dairy:</t>
  </si>
  <si>
    <t>Beef / Head</t>
  </si>
  <si>
    <t>Target Beef/capita:</t>
  </si>
  <si>
    <t>Replacement Rate (Ox, Steer)</t>
  </si>
  <si>
    <t>Replacement Rate (Cow, Bull)</t>
  </si>
  <si>
    <t>https://en.wikipedia.org/wiki/List_of_countries_by_milk_consumption_per_capita</t>
  </si>
  <si>
    <t>kg/capita/year</t>
  </si>
  <si>
    <t>head</t>
  </si>
  <si>
    <t>Milk / Cow</t>
  </si>
  <si>
    <t>kg/cow/day</t>
  </si>
  <si>
    <t>Human Population</t>
  </si>
  <si>
    <t>Crops</t>
  </si>
  <si>
    <t>Wheat</t>
  </si>
  <si>
    <t>kg Per Capita</t>
  </si>
  <si>
    <t>kg / Hectare</t>
  </si>
  <si>
    <t>Potato</t>
  </si>
  <si>
    <t>Barley</t>
  </si>
  <si>
    <t>Total Area utilized</t>
  </si>
  <si>
    <t>Cotton</t>
  </si>
  <si>
    <t>Bamboo</t>
  </si>
  <si>
    <t>Apples</t>
  </si>
  <si>
    <t>Other Fruit</t>
  </si>
  <si>
    <t>Peanuts</t>
  </si>
  <si>
    <t>http://www.prep-blog.com/2013/04/18/survival-gardening-the-most-productive-calorie-crops/</t>
  </si>
  <si>
    <t>Amaranth</t>
  </si>
  <si>
    <t>Soybeans</t>
  </si>
  <si>
    <t>Quinoa</t>
  </si>
  <si>
    <t>Garlic</t>
  </si>
  <si>
    <t>http://www.projectrho.com/public_html/rocket/enginelist.php</t>
  </si>
  <si>
    <t>Radius</t>
  </si>
  <si>
    <t>km^2/acre</t>
  </si>
  <si>
    <t>km^2/hectare</t>
  </si>
  <si>
    <t>head/hectar</t>
  </si>
  <si>
    <t>Cocoa</t>
  </si>
  <si>
    <t>Coffee</t>
  </si>
  <si>
    <t>Tea</t>
  </si>
  <si>
    <t>grapes</t>
  </si>
  <si>
    <t>au</t>
  </si>
  <si>
    <t>hectare</t>
  </si>
  <si>
    <t>kg/person</t>
  </si>
  <si>
    <t>Cattle Range:</t>
  </si>
  <si>
    <t>Crops Range:</t>
  </si>
  <si>
    <t>Settlement Area:</t>
  </si>
  <si>
    <t>Plow</t>
  </si>
  <si>
    <t>Total allocated Area:</t>
  </si>
  <si>
    <t>Population</t>
  </si>
  <si>
    <t>Per Capita Usage</t>
  </si>
  <si>
    <t>Average Power Usage</t>
  </si>
  <si>
    <t>Efficiency</t>
  </si>
  <si>
    <t>Watt per kg</t>
  </si>
  <si>
    <t>Power System</t>
  </si>
  <si>
    <t>Safety Factor</t>
  </si>
  <si>
    <t>Mission Length</t>
  </si>
  <si>
    <t>Survival Duration</t>
  </si>
  <si>
    <t>kg/w</t>
  </si>
  <si>
    <t>Fuel / mW</t>
  </si>
  <si>
    <t>7 billion kwh / 3100kg fuel</t>
  </si>
  <si>
    <t>kg/kwH</t>
  </si>
  <si>
    <t>(Assuming equivilent to early 21st century Iceland)</t>
  </si>
  <si>
    <t>kwH/yr</t>
  </si>
  <si>
    <t>Lighting Power Usage</t>
  </si>
  <si>
    <t>w</t>
  </si>
  <si>
    <t>kwh/yr -&gt; watt</t>
  </si>
  <si>
    <t>kg/kwh</t>
  </si>
  <si>
    <t>Hours/year</t>
  </si>
  <si>
    <t>Fusion Fuel Usage</t>
  </si>
  <si>
    <t>Lighting Mass / w</t>
  </si>
  <si>
    <t>kg/watt</t>
  </si>
  <si>
    <t>Fusion Power Mass</t>
  </si>
  <si>
    <t>Power System Fuel / yr</t>
  </si>
  <si>
    <t>Total Power System Fuel Mass:</t>
  </si>
  <si>
    <t>Lighting System Mass</t>
  </si>
  <si>
    <t>Nimitz Carrier</t>
  </si>
  <si>
    <t>Nimitz carrier is 1.046 million long tons</t>
  </si>
  <si>
    <t>Mole</t>
  </si>
  <si>
    <t>Computer Center</t>
  </si>
  <si>
    <t>Assuming Dexter cows and some minor technology tweaks</t>
  </si>
  <si>
    <t>Hypothetical 250kg cow that yields 75% meat</t>
  </si>
  <si>
    <t>Lower output than standard</t>
  </si>
  <si>
    <t>Seeweed</t>
  </si>
  <si>
    <t>kg/capita</t>
  </si>
  <si>
    <t>Water Depth</t>
  </si>
  <si>
    <t>Tuna</t>
  </si>
  <si>
    <t>Consumption</t>
  </si>
  <si>
    <t>Harvest Age</t>
  </si>
  <si>
    <t>salmon</t>
  </si>
  <si>
    <t>tilapia</t>
  </si>
  <si>
    <t>cod</t>
  </si>
  <si>
    <t>carp</t>
  </si>
  <si>
    <t>trout</t>
  </si>
  <si>
    <t>marine</t>
  </si>
  <si>
    <t>yes</t>
  </si>
  <si>
    <t>no</t>
  </si>
  <si>
    <t>Fish Per capita</t>
  </si>
  <si>
    <t>Density</t>
  </si>
  <si>
    <t>Tank Size</t>
  </si>
  <si>
    <t>m^3</t>
  </si>
  <si>
    <t>kg/m^3</t>
  </si>
  <si>
    <t>Mass of Meat</t>
  </si>
  <si>
    <t>Meat Yeild</t>
  </si>
  <si>
    <t>Mass of Fish</t>
  </si>
  <si>
    <t>m^2/person</t>
  </si>
  <si>
    <t>kilogram of oil (kgoe)</t>
  </si>
  <si>
    <t>kJ/kg</t>
  </si>
  <si>
    <t>kwh</t>
  </si>
  <si>
    <t>Agriculture Work</t>
  </si>
  <si>
    <t>http://www.fao.org/docrep/003/X8054E/x8054e05.htm</t>
  </si>
  <si>
    <t>kwh/hectare</t>
  </si>
  <si>
    <t>Area</t>
  </si>
  <si>
    <t>Feed/year</t>
  </si>
  <si>
    <t>Forage/Day/AU</t>
  </si>
  <si>
    <t>Kale</t>
  </si>
  <si>
    <t>Livestock Forage</t>
  </si>
  <si>
    <t>Cow population density assuming agriculturally grown forage</t>
  </si>
  <si>
    <t>Cricket Powder (to offset protein)</t>
  </si>
  <si>
    <t>Mass powder/capita</t>
  </si>
  <si>
    <t>Yeild per kg of organism</t>
  </si>
  <si>
    <t>Living kg of organism</t>
  </si>
  <si>
    <t>Feed kg / organism kg</t>
  </si>
  <si>
    <t>Mass powder/year</t>
  </si>
  <si>
    <t>Cattle</t>
  </si>
  <si>
    <t>Cricket</t>
  </si>
  <si>
    <t>Avg Mass</t>
  </si>
  <si>
    <t>Protein per day</t>
  </si>
  <si>
    <t>https://www.healthline.com/nutrition/how-much-protein-per-day</t>
  </si>
  <si>
    <t>g/kg/day</t>
  </si>
  <si>
    <t>kg/s</t>
  </si>
  <si>
    <t>Mission Cargo</t>
  </si>
  <si>
    <t>Steel Structure</t>
  </si>
  <si>
    <t>Material</t>
  </si>
  <si>
    <t>Tensile Strength</t>
  </si>
  <si>
    <t>N/mm^2</t>
  </si>
  <si>
    <t>Yield Point</t>
  </si>
  <si>
    <t>g/cm^3</t>
  </si>
  <si>
    <t>Nickle/Iron Alloy 52/48</t>
  </si>
  <si>
    <t>Caloires</t>
  </si>
  <si>
    <t>kCal/Day</t>
  </si>
  <si>
    <t>Chicken</t>
  </si>
  <si>
    <t>Mass Chicken/Capita</t>
  </si>
  <si>
    <t>Mass Meat /year</t>
  </si>
  <si>
    <t>Yield per Kg of Organism</t>
  </si>
  <si>
    <t>Living Kg per organism</t>
  </si>
  <si>
    <t>https://www.gov.mb.ca/agriculture/livestock/production/poultry/basic-feeding-programs-for-small-chicken-flocks.html</t>
  </si>
  <si>
    <t>Broiler</t>
  </si>
  <si>
    <t>Roaster</t>
  </si>
  <si>
    <t>Egg Layer</t>
  </si>
  <si>
    <t>Feed (total)</t>
  </si>
  <si>
    <t>Kg protein / organism</t>
  </si>
  <si>
    <t>Feed (protein)</t>
  </si>
  <si>
    <t>%protein diet</t>
  </si>
  <si>
    <t>Medievel Estimate</t>
  </si>
  <si>
    <t>Raw Cultivattion Estimate</t>
  </si>
  <si>
    <t>Medieval Estimate</t>
  </si>
  <si>
    <t>Medieval Population Rate</t>
  </si>
  <si>
    <t>capita/km^2</t>
  </si>
  <si>
    <t>Livestock feed</t>
  </si>
  <si>
    <t>Straw (from other crops)</t>
  </si>
  <si>
    <t>Alfalfa</t>
  </si>
  <si>
    <t>Grass</t>
  </si>
  <si>
    <t>Straw can be derived from parts of plants in food production not eaten</t>
  </si>
  <si>
    <t>Grass only requires 0.2 meters of topsoil. Assume some sort of stacking cultivation system</t>
  </si>
  <si>
    <t>Human Crops</t>
  </si>
  <si>
    <t>Livestock crops</t>
  </si>
  <si>
    <t>Grass (cultivated)</t>
  </si>
  <si>
    <t>Grass (living + recreation area)</t>
  </si>
  <si>
    <t>Grass (graze range)</t>
  </si>
  <si>
    <t>lbs/capita</t>
  </si>
  <si>
    <t>(Slightly higher than switzerland)</t>
  </si>
  <si>
    <t>Pig</t>
  </si>
  <si>
    <t>Sugar Beets</t>
  </si>
  <si>
    <t>m^3 soil</t>
  </si>
  <si>
    <t>Soil Volume</t>
  </si>
  <si>
    <t>US 1990</t>
  </si>
  <si>
    <t>http://www.foodreference.com/html/f-chick-consp.html</t>
  </si>
  <si>
    <t>http://www.foodreference.com/html/fbeef.html</t>
  </si>
  <si>
    <t>Assuming pigs eat leftovers from everything</t>
  </si>
  <si>
    <t>Total Meat</t>
  </si>
  <si>
    <t>Mass / organism</t>
  </si>
  <si>
    <t>Number organism</t>
  </si>
  <si>
    <t>Feed Organism/Market</t>
  </si>
  <si>
    <t>https://countrysidenetwork.com/daily/livestock/pigs/feeding-a-pig-for-market/</t>
  </si>
  <si>
    <t>kg / pig</t>
  </si>
  <si>
    <t>Total Mass of Food/yr</t>
  </si>
  <si>
    <t>meat</t>
  </si>
  <si>
    <t>Capita</t>
  </si>
  <si>
    <t>cereals + produce</t>
  </si>
  <si>
    <t>Food Waste</t>
  </si>
  <si>
    <t>Feed (from scaps)</t>
  </si>
  <si>
    <t>http://www.foodreference.com/html/fpork.html</t>
  </si>
  <si>
    <t>Enclosure / Organism</t>
  </si>
  <si>
    <t>Enclosure total</t>
  </si>
  <si>
    <t>Living organizm</t>
  </si>
  <si>
    <t>Enclosure per organism</t>
  </si>
  <si>
    <t>Pigs</t>
  </si>
  <si>
    <t>Ruminant Total</t>
  </si>
  <si>
    <t>% grass</t>
  </si>
  <si>
    <t>Levels</t>
  </si>
  <si>
    <t>Soil Density</t>
  </si>
  <si>
    <t>Kg/m^2 manned space</t>
  </si>
  <si>
    <t>https://en.wikipedia.org/wiki/World_Trade_Center_(1973–2001)</t>
  </si>
  <si>
    <t>https://hypertextbook.com/facts/2004/EricChen.shtml</t>
  </si>
  <si>
    <t>Steel Constuction</t>
  </si>
  <si>
    <t>World Trade Center</t>
  </si>
  <si>
    <t>Floor Area</t>
  </si>
  <si>
    <t>Mass</t>
  </si>
  <si>
    <t>kg/m^2</t>
  </si>
  <si>
    <t>U.S. Steel Building</t>
  </si>
  <si>
    <t>https://en.wikipedia.org/wiki/U.S._Steel_Tower</t>
  </si>
  <si>
    <t>Soil</t>
  </si>
  <si>
    <t>PSFS Building</t>
  </si>
  <si>
    <t>https://cdn.ymaws.com/www.aspenational.org/resource/resmgr/Techical_Papers/2013_October_TP.pdf</t>
  </si>
  <si>
    <t>Includes concrete flooring</t>
  </si>
  <si>
    <t>Based on construction formulas</t>
  </si>
  <si>
    <t>Crew + Effects / per</t>
  </si>
  <si>
    <t>Radition Shielding</t>
  </si>
  <si>
    <t>Thickness of water surrounding all habitat areas of ship</t>
  </si>
  <si>
    <t>Atmosphere</t>
  </si>
  <si>
    <t>Assuming STP 1.225 kg/m^3 and 90% of total interior volume</t>
  </si>
  <si>
    <t>https://settlement.arc.nasa.gov/75SummerStudy/Chapt4.html#Shielding</t>
  </si>
  <si>
    <t>4500 kg/m^2 needed</t>
  </si>
  <si>
    <t>Total Area</t>
  </si>
  <si>
    <t>3 * square Root of three</t>
  </si>
  <si>
    <t>Number of domes</t>
  </si>
  <si>
    <t>dy</t>
  </si>
  <si>
    <t>Design Area per dome</t>
  </si>
  <si>
    <t>Implementation area</t>
  </si>
  <si>
    <t>Surface area</t>
  </si>
  <si>
    <t>Number Domes</t>
  </si>
  <si>
    <t>Volume</t>
  </si>
  <si>
    <t>Radation Shielding</t>
  </si>
  <si>
    <t>Slice Area</t>
  </si>
  <si>
    <t>Dome Volume</t>
  </si>
  <si>
    <t>Radiation Mass</t>
  </si>
  <si>
    <t>Total Land Area</t>
  </si>
  <si>
    <t>1 G Radius</t>
  </si>
  <si>
    <t>RPM</t>
  </si>
  <si>
    <t>Angular Speed</t>
  </si>
  <si>
    <t>Rot Radius</t>
  </si>
  <si>
    <t>%g</t>
  </si>
  <si>
    <t>Height</t>
  </si>
  <si>
    <t>Design of a spheriod dome</t>
  </si>
  <si>
    <t>h</t>
  </si>
  <si>
    <t>Verticle Usage</t>
  </si>
  <si>
    <t>long ton/ft^3</t>
  </si>
  <si>
    <t>Width</t>
  </si>
  <si>
    <t>Structure Mass</t>
  </si>
  <si>
    <t>Mass m^3</t>
  </si>
  <si>
    <t>G at apex</t>
  </si>
  <si>
    <t>area / volume</t>
  </si>
  <si>
    <t>Segment Length</t>
  </si>
  <si>
    <t>Oats</t>
  </si>
  <si>
    <t>Cereals</t>
  </si>
  <si>
    <t>broccoli</t>
  </si>
  <si>
    <t>% protein</t>
  </si>
  <si>
    <t>% oil</t>
  </si>
  <si>
    <t>% EFA</t>
  </si>
  <si>
    <t>% carb</t>
  </si>
  <si>
    <t>kcal/m^2</t>
  </si>
  <si>
    <t>Cabbage</t>
  </si>
  <si>
    <t>camelina</t>
  </si>
  <si>
    <t>chia seeds</t>
  </si>
  <si>
    <t>Coconut Oil</t>
  </si>
  <si>
    <t>duckweed</t>
  </si>
  <si>
    <t>flaxseed</t>
  </si>
  <si>
    <t>fonio</t>
  </si>
  <si>
    <t>http://gardeningplaces.com/articles/nutrition-per-hectare1.htm</t>
  </si>
  <si>
    <t>hempseed</t>
  </si>
  <si>
    <t>lentils</t>
  </si>
  <si>
    <t>maize (corn)</t>
  </si>
  <si>
    <t>millet</t>
  </si>
  <si>
    <t>Nerica</t>
  </si>
  <si>
    <t>Olive Oil</t>
  </si>
  <si>
    <t>Palm Oil</t>
  </si>
  <si>
    <t>Palm Kernel Oil</t>
  </si>
  <si>
    <t>Peas - Dry</t>
  </si>
  <si>
    <t>Peas - Green</t>
  </si>
  <si>
    <t>Plaintains</t>
  </si>
  <si>
    <t>rapeseed (canola)</t>
  </si>
  <si>
    <t>Rice - paddy</t>
  </si>
  <si>
    <t>Rye</t>
  </si>
  <si>
    <t>sacha inchi</t>
  </si>
  <si>
    <t>safflower kernels</t>
  </si>
  <si>
    <t>sesame seeds</t>
  </si>
  <si>
    <t>sorghum - grain</t>
  </si>
  <si>
    <t>spelt</t>
  </si>
  <si>
    <t>sugarcane</t>
  </si>
  <si>
    <t>sunflower seeds</t>
  </si>
  <si>
    <t>sweet potatoes</t>
  </si>
  <si>
    <t>teff</t>
  </si>
  <si>
    <t>triticale</t>
  </si>
  <si>
    <t>Wild Rice</t>
  </si>
  <si>
    <t>yams</t>
  </si>
  <si>
    <t>Pumpkin</t>
  </si>
  <si>
    <t>Pumplkin seed</t>
  </si>
  <si>
    <t>Winged bean seeds</t>
  </si>
  <si>
    <t>winged bean pods</t>
  </si>
  <si>
    <t>winged bean tuber</t>
  </si>
  <si>
    <t>forage / hectare</t>
  </si>
  <si>
    <t>turnips</t>
  </si>
  <si>
    <t>Feed - Crops</t>
  </si>
  <si>
    <t>Organisms</t>
  </si>
  <si>
    <t>Food From Crops</t>
  </si>
  <si>
    <t>Number of organisms</t>
  </si>
  <si>
    <t>1 us ton/acre -&gt; kg/hectare</t>
  </si>
  <si>
    <t>Source A</t>
  </si>
  <si>
    <t>Source B</t>
  </si>
  <si>
    <t>http://www.gardensofeden.org/04%20Crop%20Yield%20Verification.htm</t>
  </si>
  <si>
    <t>Avacados</t>
  </si>
  <si>
    <t>Source</t>
  </si>
  <si>
    <t>A</t>
  </si>
  <si>
    <t>lb / Acre</t>
  </si>
  <si>
    <t>Almonds (shelled)</t>
  </si>
  <si>
    <t>Pecans - In Shell</t>
  </si>
  <si>
    <t>Pistachios</t>
  </si>
  <si>
    <t>Walnuts</t>
  </si>
  <si>
    <t>Apricots</t>
  </si>
  <si>
    <t>Cherry (sweet)</t>
  </si>
  <si>
    <t>Dates</t>
  </si>
  <si>
    <t>Figs</t>
  </si>
  <si>
    <t>Kiwi Fruit</t>
  </si>
  <si>
    <t>Nectarines</t>
  </si>
  <si>
    <t>Olives</t>
  </si>
  <si>
    <t>Peaches</t>
  </si>
  <si>
    <t>Pears</t>
  </si>
  <si>
    <t>Plums</t>
  </si>
  <si>
    <t>Spinach</t>
  </si>
  <si>
    <t>Carrot</t>
  </si>
  <si>
    <t>Onion</t>
  </si>
  <si>
    <t>Celery</t>
  </si>
  <si>
    <t>Tomato</t>
  </si>
  <si>
    <t>lettuce</t>
  </si>
  <si>
    <t>Caulflower</t>
  </si>
  <si>
    <t>Pepper, Bell</t>
  </si>
  <si>
    <t>Pepper, Black</t>
  </si>
  <si>
    <t>Squash, Summer</t>
  </si>
  <si>
    <t>Beet</t>
  </si>
  <si>
    <t>Cantaloupe</t>
  </si>
  <si>
    <t>Asparagus</t>
  </si>
  <si>
    <t>Cucumber</t>
  </si>
  <si>
    <t>Radish</t>
  </si>
  <si>
    <t>Watermellon</t>
  </si>
  <si>
    <t>Bean, Lima</t>
  </si>
  <si>
    <t>Bean, snap</t>
  </si>
  <si>
    <t>Beans, greeen</t>
  </si>
  <si>
    <t>Bean, dry</t>
  </si>
  <si>
    <t>Source C</t>
  </si>
  <si>
    <t>Chufa (tigernut)</t>
  </si>
  <si>
    <t>Grow Time</t>
  </si>
  <si>
    <t>days</t>
  </si>
  <si>
    <t>Source D</t>
  </si>
  <si>
    <t>https://www.gardenguides.com/134169-growing-times-vegetables.html</t>
  </si>
  <si>
    <t>Perennial</t>
  </si>
  <si>
    <t>Oranges</t>
  </si>
  <si>
    <t>Lemon</t>
  </si>
  <si>
    <t>Lime</t>
  </si>
  <si>
    <t>kg/year</t>
  </si>
  <si>
    <t>United States</t>
  </si>
  <si>
    <t>https://ourworldindata.org/diet-compositions</t>
  </si>
  <si>
    <t>kCal/kg</t>
  </si>
  <si>
    <t>Harvests</t>
  </si>
  <si>
    <t>Kg Food</t>
  </si>
  <si>
    <t>Kg Forage</t>
  </si>
  <si>
    <t>% forage</t>
  </si>
  <si>
    <t>Total Forage Source</t>
  </si>
  <si>
    <t>food</t>
  </si>
  <si>
    <t>forage</t>
  </si>
  <si>
    <t>Cal/day/person</t>
  </si>
  <si>
    <t>Grown</t>
  </si>
  <si>
    <t>Other Vegetables</t>
  </si>
  <si>
    <t>Class</t>
  </si>
  <si>
    <t>kcal/day</t>
  </si>
  <si>
    <t>Non-Food Crops</t>
  </si>
  <si>
    <t>Diet Design</t>
  </si>
  <si>
    <t>Other</t>
  </si>
  <si>
    <t>Sugar</t>
  </si>
  <si>
    <t>Japan</t>
  </si>
  <si>
    <t>Iceland</t>
  </si>
  <si>
    <t>Life Expectency</t>
  </si>
  <si>
    <t>Canada</t>
  </si>
  <si>
    <t>Russia</t>
  </si>
  <si>
    <t>China</t>
  </si>
  <si>
    <t>India</t>
  </si>
  <si>
    <t>Chad</t>
  </si>
  <si>
    <t>Diet Data:</t>
  </si>
  <si>
    <t>Life Expectency Data:</t>
  </si>
  <si>
    <t>https://www.infoplease.com/world/health-and-social-statistics/life-expectancy-countries-0</t>
  </si>
  <si>
    <t>Based of Year 2013Data from</t>
  </si>
  <si>
    <t>TCD</t>
  </si>
  <si>
    <t>Code</t>
  </si>
  <si>
    <t>CAN</t>
  </si>
  <si>
    <t>ISL</t>
  </si>
  <si>
    <t>IND</t>
  </si>
  <si>
    <t>Ireland</t>
  </si>
  <si>
    <t>IRL</t>
  </si>
  <si>
    <t>Saudi Arabia</t>
  </si>
  <si>
    <t>JPN</t>
  </si>
  <si>
    <t>CHN</t>
  </si>
  <si>
    <t>RUS</t>
  </si>
  <si>
    <t>SAU</t>
  </si>
  <si>
    <t>USA</t>
  </si>
  <si>
    <t>kcal (total)</t>
  </si>
  <si>
    <t>Australia</t>
  </si>
  <si>
    <t>AUS</t>
  </si>
  <si>
    <t>United Kingdom</t>
  </si>
  <si>
    <t>GBR</t>
  </si>
  <si>
    <t>South Korea</t>
  </si>
  <si>
    <t>KOR</t>
  </si>
  <si>
    <t>kilocalories per person per day</t>
  </si>
  <si>
    <t>Oils &amp; Fats</t>
  </si>
  <si>
    <t>Meat</t>
  </si>
  <si>
    <t>Dairy &amp; Eggs</t>
  </si>
  <si>
    <t>Fruits &amp; Vegetables</t>
  </si>
  <si>
    <t>Starchy Roots</t>
  </si>
  <si>
    <t>Pulses</t>
  </si>
  <si>
    <t>Cereals &amp; Grains</t>
  </si>
  <si>
    <t>Alcoholic Beverages</t>
  </si>
  <si>
    <t>Type</t>
  </si>
  <si>
    <t>Oil &amp; Fats</t>
  </si>
  <si>
    <t>Starchy Root</t>
  </si>
  <si>
    <t>Alcholic Beverages</t>
  </si>
  <si>
    <t>https://nutritionstudies.org/what-are-pulses-and-why-are-they-important/</t>
  </si>
  <si>
    <t>kcal/100g</t>
  </si>
  <si>
    <t>https://www.fatsecret.com/calories-nutrition/generic/sugar?portionid=55855&amp;portionamount=100.000</t>
  </si>
  <si>
    <t>https://www.fatsecret.com/calories-nutrition/generic/rice-white-cooked-regular?portionid=53181&amp;portionamount=100.000</t>
  </si>
  <si>
    <t>https://www.fatsecret.com/calories-nutrition/usda/potatoes-(flesh-without-skin-without-salt-boiled)?portionid=59236&amp;portionamount=100.000</t>
  </si>
  <si>
    <t>https://www.fatsecret.com/calories-nutrition/usda/green-peas?portionid=59195&amp;portionamount=100.000</t>
  </si>
  <si>
    <t>https://www.fatsecret.com/calories-nutrition/usda/red-table-wine?portionid=60471&amp;portionamount=100.000</t>
  </si>
  <si>
    <t>Fish</t>
  </si>
  <si>
    <t>Modeled as a generic organism that east primarly crickets</t>
  </si>
  <si>
    <t>kg / ea</t>
  </si>
  <si>
    <t>kg / capita</t>
  </si>
  <si>
    <t>Protein - Vegetable</t>
  </si>
  <si>
    <t>lux</t>
  </si>
  <si>
    <t>https://en.wikipedia.org/wiki/Daylight</t>
  </si>
  <si>
    <t>https://en.wikipedia.org/wiki/Moonlight</t>
  </si>
  <si>
    <t>https://www1.eere.energy.gov/buildings/publications/pdfs/ssl/led_energy_efficiency.pdf</t>
  </si>
  <si>
    <t>lumen/W</t>
  </si>
  <si>
    <t>MW</t>
  </si>
  <si>
    <t>Total Mass</t>
  </si>
  <si>
    <t>Fusion Reactor</t>
  </si>
  <si>
    <t>(Similar to propulsion System)</t>
  </si>
  <si>
    <t>Gallery Rate</t>
  </si>
  <si>
    <t>Diameter</t>
  </si>
  <si>
    <t>1g Radius</t>
  </si>
  <si>
    <t>dy Standard</t>
  </si>
  <si>
    <t>(1 meter utility, 1-2 meter soil, 3-4 meter headspace)</t>
  </si>
  <si>
    <t>Flywheel Mass</t>
  </si>
  <si>
    <t>Flywheel Max Radius</t>
  </si>
  <si>
    <t>Moment of Inertia</t>
  </si>
  <si>
    <t>Angular Momentum</t>
  </si>
  <si>
    <t>Flywheel Inner Radius</t>
  </si>
  <si>
    <t>Flywheel Moment of Inertia</t>
  </si>
  <si>
    <t>Flywheel Thickness</t>
  </si>
  <si>
    <t>Flywheel Angular Speed</t>
  </si>
  <si>
    <t>Air Density</t>
  </si>
  <si>
    <t>Flywheel Density</t>
  </si>
  <si>
    <t>Length of a Nimtz Carrier</t>
  </si>
  <si>
    <t>in</t>
  </si>
  <si>
    <t>Length of Football Field</t>
  </si>
  <si>
    <t>2d Slice Area</t>
  </si>
  <si>
    <t>Vertical Usage</t>
  </si>
  <si>
    <t>Spare Parts Factor</t>
  </si>
  <si>
    <t>Usage</t>
  </si>
  <si>
    <t>Park Area</t>
  </si>
  <si>
    <t>Settlement Area</t>
  </si>
  <si>
    <t>Agriculture</t>
  </si>
  <si>
    <t>Medical</t>
  </si>
  <si>
    <t>Human Services</t>
  </si>
  <si>
    <t>Service Industry</t>
  </si>
  <si>
    <t>Craftsmen - Food</t>
  </si>
  <si>
    <t>Vendor</t>
  </si>
  <si>
    <t>Craftsmen - Art</t>
  </si>
  <si>
    <t>Craftsman - Misc</t>
  </si>
  <si>
    <t>Law Enforcement</t>
  </si>
  <si>
    <t>Per 100000</t>
  </si>
  <si>
    <t>Labor Category</t>
  </si>
  <si>
    <t>Crew</t>
  </si>
  <si>
    <t>Retired</t>
  </si>
  <si>
    <t>Working</t>
  </si>
  <si>
    <t>Command</t>
  </si>
  <si>
    <t>Education</t>
  </si>
  <si>
    <t>Maternity</t>
  </si>
  <si>
    <t>Non-Working</t>
  </si>
  <si>
    <t>Assume 1 teacher per 12 children, starting at age 4</t>
  </si>
  <si>
    <t>Inn/Taverns/Restaurants</t>
  </si>
  <si>
    <t>Ship Systems</t>
  </si>
  <si>
    <t>Robotics + Agriculture</t>
  </si>
  <si>
    <t>Human Services Categories</t>
  </si>
  <si>
    <t>Assuming 3 doctors and 3 nurses on rotation 24/7, with 2 trainees</t>
  </si>
  <si>
    <t>Student</t>
  </si>
  <si>
    <t>Assuming 40% of children will go on to 4 years of advanced training</t>
  </si>
  <si>
    <t>Trainee / Generalist</t>
  </si>
  <si>
    <t>Plant Operator</t>
  </si>
  <si>
    <t>Technicians / Electricians</t>
  </si>
  <si>
    <t>Repair + Fabrication</t>
  </si>
  <si>
    <t>Assuming this count also includes individuals engaged in domestic manufactur</t>
  </si>
  <si>
    <t>Weighted Allocation</t>
  </si>
  <si>
    <t>Figures for trades estimated from medieval towns/cities</t>
  </si>
  <si>
    <t>Government</t>
  </si>
  <si>
    <t>Picked a plausible number from: https://www.governing.com/gov-data/public-workforce-salaries/states-most-government-workers-public-employees-by-job-type.html</t>
  </si>
  <si>
    <t>Officers</t>
  </si>
  <si>
    <t>Scientists</t>
  </si>
  <si>
    <t>Plant Safety</t>
  </si>
  <si>
    <t>FOG</t>
  </si>
  <si>
    <t>Science + Development</t>
  </si>
  <si>
    <t>Spare Parts Estimate</t>
  </si>
  <si>
    <t>http://www.waterandenergyprogress.org/library/05006.pdf</t>
  </si>
  <si>
    <t>Shred Stalks</t>
  </si>
  <si>
    <t>Plow 8 inches deep</t>
  </si>
  <si>
    <t>Field Cultivate</t>
  </si>
  <si>
    <t>Harrow</t>
  </si>
  <si>
    <t>Cultivate Row Crops</t>
  </si>
  <si>
    <t>Plant Row Crops</t>
  </si>
  <si>
    <t>No-till planter</t>
  </si>
  <si>
    <t>Grain Drill</t>
  </si>
  <si>
    <t>Combine - Grain</t>
  </si>
  <si>
    <t>Combine - corn/sorghum</t>
  </si>
  <si>
    <t>Corn Picker</t>
  </si>
  <si>
    <t>Baler</t>
  </si>
  <si>
    <t>Rotary Mower</t>
  </si>
  <si>
    <t>Forage Harvester - green</t>
  </si>
  <si>
    <t>Forage Harvester - hay</t>
  </si>
  <si>
    <t>Forage Harvester - corm</t>
  </si>
  <si>
    <t>Forage blower - green</t>
  </si>
  <si>
    <t>Forage blower - hay</t>
  </si>
  <si>
    <t>Forage blower - corn</t>
  </si>
  <si>
    <t>Grain Drying</t>
  </si>
  <si>
    <t>Estimate Number of Tractors needed</t>
  </si>
  <si>
    <t>Task</t>
  </si>
  <si>
    <t>PTO hp/hr/acre</t>
  </si>
  <si>
    <t>Hectares</t>
  </si>
  <si>
    <t>Tractor Hours</t>
  </si>
  <si>
    <t>acre</t>
  </si>
  <si>
    <t>mile^2</t>
  </si>
  <si>
    <t>ft^2</t>
  </si>
  <si>
    <t>Constants</t>
  </si>
  <si>
    <t>Human Population (peak)</t>
  </si>
  <si>
    <t>PTO HP-hour/acre</t>
  </si>
  <si>
    <t>PTO HP-hour</t>
  </si>
  <si>
    <t>Robotic Operators</t>
  </si>
  <si>
    <t>Recreation Area:</t>
  </si>
  <si>
    <t>Land Usage</t>
  </si>
  <si>
    <t>Budget</t>
  </si>
  <si>
    <t>Implemented</t>
  </si>
  <si>
    <t>Cargo Area</t>
  </si>
  <si>
    <t>Name</t>
  </si>
  <si>
    <t>Settlement</t>
  </si>
  <si>
    <t>Park</t>
  </si>
  <si>
    <t>Cargo</t>
  </si>
  <si>
    <t>Housing - Single</t>
  </si>
  <si>
    <t>Housing - Family</t>
  </si>
  <si>
    <t>Budget %</t>
  </si>
  <si>
    <t>Acres/Capita</t>
  </si>
  <si>
    <t>Industry</t>
  </si>
  <si>
    <t>Zones</t>
  </si>
  <si>
    <t>Industrial</t>
  </si>
  <si>
    <t>Artist/Musician</t>
  </si>
  <si>
    <t>https://www.arts.gov/sites/default/files/ArtistsInWorkforce.pdf</t>
  </si>
  <si>
    <t>Domes</t>
  </si>
  <si>
    <t>Food Storage</t>
  </si>
  <si>
    <t>Store the equivilent of 7 years of food</t>
  </si>
  <si>
    <t>Volume / Dome</t>
  </si>
  <si>
    <t>Horsepower to KW</t>
  </si>
  <si>
    <t>KW to Horsepower</t>
  </si>
  <si>
    <t>Cultivation energy / hectare</t>
  </si>
  <si>
    <t>Yearly Power Consuption</t>
  </si>
  <si>
    <t>Days in year</t>
  </si>
  <si>
    <t>Niave</t>
  </si>
  <si>
    <t>Exact</t>
  </si>
  <si>
    <t>Image Scale (carrier)</t>
  </si>
  <si>
    <t>Image Scale (field)</t>
  </si>
  <si>
    <t>Uniform</t>
  </si>
  <si>
    <t>Widest</t>
  </si>
  <si>
    <t>Hab Levels</t>
  </si>
  <si>
    <t>Note: Some decks do not have area that adds up to 100% to represent thru-deck features</t>
  </si>
  <si>
    <t>Machinery</t>
  </si>
  <si>
    <t>Total Levels</t>
  </si>
  <si>
    <t>Dome Radius est</t>
  </si>
  <si>
    <t>http://www.no1ledlight.com/lux-standard-for-indoor-lighting/</t>
  </si>
  <si>
    <t>https://homeguides.sfgate.com/problem-using-grow-lights-greenhouses-51087.html</t>
  </si>
  <si>
    <t>Illumination Hours</t>
  </si>
  <si>
    <t>kwh /day</t>
  </si>
  <si>
    <t>Peak Wattage</t>
  </si>
  <si>
    <t>watt</t>
  </si>
  <si>
    <t>Lighting</t>
  </si>
  <si>
    <t>Peak Power Load</t>
  </si>
  <si>
    <t>Daily Power Consumption</t>
  </si>
  <si>
    <t>kwh/day -&gt; watt</t>
  </si>
  <si>
    <t>khw/day</t>
  </si>
  <si>
    <t>kwH/day</t>
  </si>
  <si>
    <t>kwh/day</t>
  </si>
  <si>
    <t>Ship Calendar</t>
  </si>
  <si>
    <t>System Mass</t>
  </si>
  <si>
    <t>Hemp</t>
  </si>
  <si>
    <t>Hectare</t>
  </si>
  <si>
    <t>(Sum of proportions)</t>
  </si>
  <si>
    <t>Illumination (Peak)</t>
  </si>
  <si>
    <t>Illumination (Night)</t>
  </si>
  <si>
    <t>Manned</t>
  </si>
  <si>
    <t>Unmanned</t>
  </si>
  <si>
    <t>Outdoor</t>
  </si>
  <si>
    <t>Start Population</t>
  </si>
  <si>
    <t>Travel Time</t>
  </si>
  <si>
    <t>Hallway</t>
  </si>
  <si>
    <t>Assume at least a mayor</t>
  </si>
  <si>
    <t>Specialist</t>
  </si>
  <si>
    <t>Requirements</t>
  </si>
  <si>
    <t>Design Population</t>
  </si>
  <si>
    <t>Plant Height</t>
  </si>
  <si>
    <t>Orchard</t>
  </si>
  <si>
    <t>Orchard Area</t>
  </si>
  <si>
    <t>Length</t>
  </si>
  <si>
    <t>Slice Radius</t>
  </si>
  <si>
    <t>Surface Area</t>
  </si>
  <si>
    <t>Fuel Storage Total</t>
  </si>
  <si>
    <t>Equator</t>
  </si>
  <si>
    <t>Offset</t>
  </si>
  <si>
    <t>Sphere Offset</t>
  </si>
  <si>
    <t>Sphere Radius</t>
  </si>
  <si>
    <t>1 mw data center</t>
  </si>
  <si>
    <t>Note: Does not include fuel collected</t>
  </si>
  <si>
    <t>Astronomical Unit</t>
  </si>
  <si>
    <t>kg/day</t>
  </si>
  <si>
    <t>m/s</t>
  </si>
  <si>
    <t>Reaction Mass</t>
  </si>
  <si>
    <t>(Assume a magical 90% production increase from technology)</t>
  </si>
  <si>
    <t>Sci-Fi-Factor</t>
  </si>
  <si>
    <t>AU</t>
  </si>
  <si>
    <t>au/day</t>
  </si>
  <si>
    <t>mass</t>
  </si>
  <si>
    <t>Performance</t>
  </si>
  <si>
    <t>iSP</t>
  </si>
  <si>
    <t>Habitat</t>
  </si>
  <si>
    <t>Engines</t>
  </si>
  <si>
    <t>Fuel Mass Fac</t>
  </si>
  <si>
    <t>GVM Estimate</t>
  </si>
  <si>
    <t>Fuel Tanks</t>
  </si>
  <si>
    <t>Reaction Tanks</t>
  </si>
  <si>
    <t>Cargo Structure</t>
  </si>
  <si>
    <t>1400 MJ/kg</t>
  </si>
  <si>
    <t>https://en.wikipedia.org/wiki/Specific_impulse</t>
  </si>
  <si>
    <t>ve</t>
  </si>
  <si>
    <t>mdot</t>
  </si>
  <si>
    <t>Isotope Reagent Capacity</t>
  </si>
  <si>
    <t>Reagent Tanks</t>
  </si>
  <si>
    <t>(Fuel tank doubles as cargo tank for processed fuel)</t>
  </si>
  <si>
    <t>kwh/kg</t>
  </si>
  <si>
    <t>Refinery</t>
  </si>
  <si>
    <t>A Lithium Deuteride</t>
  </si>
  <si>
    <t>Support Ship</t>
  </si>
  <si>
    <t>A=2*pi()*r*h</t>
  </si>
  <si>
    <t>a=pi()*rc^2</t>
  </si>
  <si>
    <t>rc^2=2*r*h</t>
  </si>
  <si>
    <t>r2h=a^2+h^2</t>
  </si>
  <si>
    <t>Internal Sphere Radius</t>
  </si>
  <si>
    <t>x^2+y^2=r^2</t>
  </si>
  <si>
    <t>x^2=r^2-y^2</t>
  </si>
  <si>
    <t>Recreation</t>
  </si>
  <si>
    <t>Logistics</t>
  </si>
  <si>
    <t>Weight on Ceres</t>
  </si>
  <si>
    <t>Newtons</t>
  </si>
  <si>
    <t>Tons</t>
  </si>
  <si>
    <t>Core Radius</t>
  </si>
  <si>
    <t>Outer Major Axis</t>
  </si>
  <si>
    <t>Outer Vertical Axis</t>
  </si>
  <si>
    <t>Elipsoid Volume Total</t>
  </si>
  <si>
    <t>Number of Domes</t>
  </si>
  <si>
    <t>Internal:</t>
  </si>
  <si>
    <t>Total Volume</t>
  </si>
  <si>
    <t>Reaction Density</t>
  </si>
  <si>
    <t>Cargo Volume</t>
  </si>
  <si>
    <t>Cargo Radius</t>
  </si>
  <si>
    <t>Cross Section</t>
  </si>
  <si>
    <t>Cargo Height</t>
  </si>
  <si>
    <t>Engine mass</t>
  </si>
  <si>
    <t>w/kg</t>
  </si>
  <si>
    <t>Peak Output</t>
  </si>
  <si>
    <t>Reactor Mass</t>
  </si>
  <si>
    <t>Rector Volume</t>
  </si>
  <si>
    <t>Reactor Radius</t>
  </si>
  <si>
    <t>kg/kg</t>
  </si>
  <si>
    <t>wat/kg</t>
  </si>
  <si>
    <t>Lithium Deutride is exploded in volumes of propellent to produce thrust</t>
  </si>
  <si>
    <t>Crew and Effects</t>
  </si>
  <si>
    <t>Fusion</t>
  </si>
  <si>
    <t>TJ</t>
  </si>
  <si>
    <t>Lithium Deutride Chain Rections</t>
  </si>
  <si>
    <t>He4 + p</t>
  </si>
  <si>
    <t>He4 + n</t>
  </si>
  <si>
    <t>Li6 + n</t>
  </si>
  <si>
    <t>T + He4</t>
  </si>
  <si>
    <t>Li7 + n</t>
  </si>
  <si>
    <t>T + He4 + n</t>
  </si>
  <si>
    <t>J / kg</t>
  </si>
  <si>
    <t>Mollecular Weight of Propellent</t>
  </si>
  <si>
    <t>Atomic H</t>
  </si>
  <si>
    <t>Mollecular H</t>
  </si>
  <si>
    <t>Water</t>
  </si>
  <si>
    <t>Bolzman's Constant</t>
  </si>
  <si>
    <t>erg/K</t>
  </si>
  <si>
    <t>Avagadro Contant</t>
  </si>
  <si>
    <t>dalton</t>
  </si>
  <si>
    <t>Joule</t>
  </si>
  <si>
    <t>Propellent</t>
  </si>
  <si>
    <t>Cruising Speed</t>
  </si>
  <si>
    <t>Fusion Reactions</t>
  </si>
  <si>
    <t>Breeder Reactions</t>
  </si>
  <si>
    <t>((Li6+n)+(Li7+n))+D</t>
  </si>
  <si>
    <t>(T+He4+n)+D</t>
  </si>
  <si>
    <t>Fusion Fuel Consumed</t>
  </si>
  <si>
    <t>Water Molecular Mass</t>
  </si>
  <si>
    <t>Nuclear Yield to Thrust</t>
  </si>
  <si>
    <t>D+D (catalyzed)</t>
  </si>
  <si>
    <t>http://www.projectrho.com/public_html/rocket/supplement/ComparisonFusionAntiproton.pdf</t>
  </si>
  <si>
    <t>D+T (0.4/0.6)</t>
  </si>
  <si>
    <t>D + He3 (0.4/0.6)</t>
  </si>
  <si>
    <t>H + He4 + n</t>
  </si>
  <si>
    <t>mDot</t>
  </si>
  <si>
    <t>Fusion Energy</t>
  </si>
  <si>
    <t>Deuterium</t>
  </si>
  <si>
    <t>Tritium</t>
  </si>
  <si>
    <t>mollecular mass</t>
  </si>
  <si>
    <t>Ve</t>
  </si>
  <si>
    <t>Ep</t>
  </si>
  <si>
    <t>Neutron</t>
  </si>
  <si>
    <t>He4</t>
  </si>
  <si>
    <t>start mass</t>
  </si>
  <si>
    <t>end mass</t>
  </si>
  <si>
    <t>Hydrogen</t>
  </si>
  <si>
    <t>Proton</t>
  </si>
  <si>
    <t>Electron</t>
  </si>
  <si>
    <t>He3</t>
  </si>
  <si>
    <t>Speed of Light ©</t>
  </si>
  <si>
    <t>Ideal DeltaV / V0 ratio</t>
  </si>
  <si>
    <t>DeltaV</t>
  </si>
  <si>
    <t>Wet Mass</t>
  </si>
  <si>
    <t>gW</t>
  </si>
  <si>
    <t>Ve of Propellent</t>
  </si>
  <si>
    <t>Ve (theoretical)</t>
  </si>
  <si>
    <t>J (back-calculated)</t>
  </si>
  <si>
    <t>Fuel/Propellent Ratio</t>
  </si>
  <si>
    <t>Empty Hull</t>
  </si>
  <si>
    <t>Daily Fuel Consumption</t>
  </si>
  <si>
    <t>Heavy Water Tank</t>
  </si>
  <si>
    <t>Bulk Cargo</t>
  </si>
  <si>
    <t>Total Tank Volume</t>
  </si>
  <si>
    <t>Lithium Deuteride Tank</t>
  </si>
  <si>
    <t>Lithium Metal Tank</t>
  </si>
  <si>
    <t>Propellent Tank</t>
  </si>
  <si>
    <t>Docking Bay Volume</t>
  </si>
  <si>
    <t>Engineering Volume</t>
  </si>
  <si>
    <t>Mass Saturn V</t>
  </si>
  <si>
    <t>Alreigh Burke Destroyers</t>
  </si>
  <si>
    <t>Soil Efficiency</t>
  </si>
  <si>
    <t>(Volume reduction through use of pots and containers)</t>
  </si>
  <si>
    <t>Inner Radius</t>
  </si>
  <si>
    <t>Cylinder Height</t>
  </si>
  <si>
    <t>(Escape velocity Ceres)</t>
  </si>
  <si>
    <t>Cylinder + Flywheel</t>
  </si>
  <si>
    <t>Infrastructure</t>
  </si>
  <si>
    <t>Inhabited Levels</t>
  </si>
  <si>
    <t>Residents</t>
  </si>
  <si>
    <t>Units</t>
  </si>
  <si>
    <t>Cylinder Radius</t>
  </si>
  <si>
    <t>Cylinder Land Surface</t>
  </si>
  <si>
    <t>Cylinder Levels</t>
  </si>
  <si>
    <t>Cylinder Exterior Surface</t>
  </si>
  <si>
    <t>Total Cylinder Volume</t>
  </si>
  <si>
    <t>Cylinder Shield Mass</t>
  </si>
  <si>
    <t>Cylinder Structure Mass</t>
  </si>
  <si>
    <t>Inhabited Cylinder Volume</t>
  </si>
  <si>
    <t>Inhabited Volume</t>
  </si>
  <si>
    <t>Actual Population</t>
  </si>
  <si>
    <t>Inner G</t>
  </si>
  <si>
    <t>Max Circumference</t>
  </si>
  <si>
    <t>target</t>
  </si>
  <si>
    <t>population</t>
  </si>
  <si>
    <t>radius</t>
  </si>
  <si>
    <t>inner_rad</t>
  </si>
  <si>
    <t>max_cir</t>
  </si>
  <si>
    <t>length</t>
  </si>
  <si>
    <t>levels</t>
  </si>
  <si>
    <t>innerG</t>
  </si>
  <si>
    <t>rpm</t>
  </si>
  <si>
    <t>Perseus</t>
  </si>
  <si>
    <t>Gilgamesh</t>
  </si>
  <si>
    <t>Concept 1</t>
  </si>
  <si>
    <t>Concept 2</t>
  </si>
  <si>
    <t>Concept 3</t>
  </si>
  <si>
    <t>Concept 4</t>
  </si>
  <si>
    <t>Concept 5</t>
  </si>
  <si>
    <t>Concept 6</t>
  </si>
  <si>
    <t>Concept 7</t>
  </si>
  <si>
    <t>Concept 8</t>
  </si>
  <si>
    <t>Concept 9</t>
  </si>
  <si>
    <t>Manhatten City Blocks</t>
  </si>
  <si>
    <t>Iliad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</si>
</sst>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.0000000"/>
    <numFmt numFmtId="166" formatCode="#,##0.0"/>
    <numFmt numFmtId="167" formatCode="0.00000E+00"/>
    <numFmt numFmtId="168" formatCode="0.0%"/>
    <numFmt numFmtId="169" formatCode="0.00000"/>
    <numFmt numFmtId="170" formatCode="0.0000"/>
    <numFmt numFmtId="171" formatCode="0.000"/>
    <numFmt numFmtId="172" formatCode="0.000E+00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333333"/>
      <name val="Times New Roman"/>
      <family val="1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222222"/>
      <name val="Arial"/>
      <family val="2"/>
    </font>
    <font>
      <sz val="10"/>
      <color rgb="FF000000"/>
      <name val="Arial Unicode MS"/>
      <family val="2"/>
    </font>
    <font>
      <sz val="14"/>
      <color rgb="FF000099"/>
      <name val="-webkit-standard"/>
    </font>
    <font>
      <sz val="13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13"/>
      <color rgb="FF000000"/>
      <name val="Georgia"/>
      <family val="1"/>
    </font>
    <font>
      <sz val="13"/>
      <color rgb="FF666666"/>
      <name val="Arial"/>
      <family val="2"/>
    </font>
    <font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2"/>
      <color rgb="FF202122"/>
      <name val="Arial"/>
      <family val="2"/>
    </font>
    <font>
      <sz val="12"/>
      <color theme="1"/>
      <name val="Consolas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3F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165" fontId="0" fillId="0" borderId="0" xfId="0" applyNumberFormat="1"/>
    <xf numFmtId="2" fontId="0" fillId="0" borderId="0" xfId="0" applyNumberFormat="1" applyFill="1"/>
    <xf numFmtId="164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166" fontId="2" fillId="0" borderId="0" xfId="0" applyNumberFormat="1" applyFont="1"/>
    <xf numFmtId="167" fontId="0" fillId="0" borderId="0" xfId="0" applyNumberFormat="1"/>
    <xf numFmtId="0" fontId="0" fillId="0" borderId="0" xfId="0" applyNumberFormat="1"/>
    <xf numFmtId="0" fontId="3" fillId="0" borderId="0" xfId="2"/>
    <xf numFmtId="168" fontId="0" fillId="0" borderId="0" xfId="1" applyNumberFormat="1" applyFont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4" fillId="6" borderId="4" xfId="0" applyFont="1" applyFill="1" applyBorder="1"/>
    <xf numFmtId="0" fontId="4" fillId="6" borderId="5" xfId="0" applyFont="1" applyFill="1" applyBorder="1"/>
    <xf numFmtId="0" fontId="4" fillId="6" borderId="6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9" fontId="0" fillId="0" borderId="0" xfId="1" applyFon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1" fontId="0" fillId="2" borderId="0" xfId="0" applyNumberFormat="1" applyFill="1"/>
    <xf numFmtId="0" fontId="0" fillId="0" borderId="0" xfId="0" applyFont="1"/>
    <xf numFmtId="11" fontId="0" fillId="7" borderId="0" xfId="0" applyNumberFormat="1" applyFill="1"/>
    <xf numFmtId="0" fontId="0" fillId="8" borderId="0" xfId="0" applyFill="1"/>
    <xf numFmtId="11" fontId="0" fillId="8" borderId="0" xfId="0" applyNumberFormat="1" applyFill="1"/>
    <xf numFmtId="11" fontId="0" fillId="4" borderId="0" xfId="0" applyNumberFormat="1" applyFill="1"/>
    <xf numFmtId="11" fontId="4" fillId="0" borderId="0" xfId="0" applyNumberFormat="1" applyFont="1"/>
    <xf numFmtId="164" fontId="0" fillId="7" borderId="0" xfId="0" applyNumberFormat="1" applyFill="1"/>
    <xf numFmtId="11" fontId="0" fillId="0" borderId="0" xfId="0" applyNumberFormat="1" applyFill="1"/>
    <xf numFmtId="1" fontId="0" fillId="0" borderId="0" xfId="0" applyNumberFormat="1"/>
    <xf numFmtId="0" fontId="0" fillId="7" borderId="0" xfId="0" applyFill="1"/>
    <xf numFmtId="2" fontId="0" fillId="5" borderId="0" xfId="0" applyNumberFormat="1" applyFill="1"/>
    <xf numFmtId="172" fontId="0" fillId="9" borderId="0" xfId="0" applyNumberFormat="1" applyFill="1"/>
    <xf numFmtId="172" fontId="0" fillId="7" borderId="0" xfId="0" applyNumberFormat="1" applyFill="1"/>
    <xf numFmtId="0" fontId="6" fillId="0" borderId="0" xfId="0" applyFont="1"/>
    <xf numFmtId="0" fontId="0" fillId="10" borderId="0" xfId="0" applyFill="1"/>
    <xf numFmtId="3" fontId="0" fillId="0" borderId="0" xfId="0" applyNumberFormat="1"/>
    <xf numFmtId="1" fontId="0" fillId="0" borderId="0" xfId="0" applyNumberFormat="1" applyFill="1"/>
    <xf numFmtId="2" fontId="0" fillId="7" borderId="0" xfId="0" applyNumberFormat="1" applyFill="1"/>
    <xf numFmtId="11" fontId="0" fillId="0" borderId="0" xfId="1" applyNumberFormat="1" applyFont="1"/>
    <xf numFmtId="0" fontId="7" fillId="0" borderId="0" xfId="0" applyFont="1"/>
    <xf numFmtId="3" fontId="7" fillId="0" borderId="0" xfId="0" applyNumberFormat="1" applyFont="1"/>
    <xf numFmtId="2" fontId="0" fillId="0" borderId="0" xfId="1" applyNumberFormat="1" applyFont="1"/>
    <xf numFmtId="0" fontId="8" fillId="0" borderId="0" xfId="0" applyFont="1"/>
    <xf numFmtId="0" fontId="4" fillId="0" borderId="0" xfId="0" applyFont="1"/>
    <xf numFmtId="0" fontId="0" fillId="12" borderId="0" xfId="0" applyFill="1"/>
    <xf numFmtId="0" fontId="4" fillId="12" borderId="0" xfId="0" applyFont="1" applyFill="1"/>
    <xf numFmtId="0" fontId="0" fillId="11" borderId="0" xfId="0" applyFill="1"/>
    <xf numFmtId="0" fontId="0" fillId="13" borderId="0" xfId="0" applyFill="1"/>
    <xf numFmtId="0" fontId="4" fillId="13" borderId="0" xfId="0" applyFont="1" applyFill="1"/>
    <xf numFmtId="11" fontId="0" fillId="0" borderId="0" xfId="0" applyNumberFormat="1" applyAlignment="1"/>
    <xf numFmtId="0" fontId="10" fillId="0" borderId="0" xfId="0" applyFont="1"/>
    <xf numFmtId="171" fontId="6" fillId="0" borderId="0" xfId="0" applyNumberFormat="1" applyFont="1"/>
    <xf numFmtId="2" fontId="6" fillId="0" borderId="0" xfId="0" applyNumberFormat="1" applyFont="1"/>
    <xf numFmtId="164" fontId="6" fillId="0" borderId="0" xfId="0" applyNumberFormat="1" applyFont="1"/>
    <xf numFmtId="11" fontId="6" fillId="0" borderId="0" xfId="0" applyNumberFormat="1" applyFont="1"/>
    <xf numFmtId="0" fontId="9" fillId="0" borderId="0" xfId="0" applyFont="1"/>
    <xf numFmtId="0" fontId="0" fillId="7" borderId="0" xfId="0" applyFont="1" applyFill="1"/>
    <xf numFmtId="11" fontId="0" fillId="6" borderId="0" xfId="0" applyNumberFormat="1" applyFill="1"/>
    <xf numFmtId="2" fontId="0" fillId="6" borderId="0" xfId="0" applyNumberFormat="1" applyFill="1"/>
    <xf numFmtId="164" fontId="0" fillId="6" borderId="0" xfId="0" applyNumberFormat="1" applyFill="1"/>
    <xf numFmtId="9" fontId="0" fillId="6" borderId="8" xfId="1" applyFont="1" applyFill="1" applyBorder="1"/>
    <xf numFmtId="3" fontId="0" fillId="0" borderId="0" xfId="0" applyNumberFormat="1" applyFont="1"/>
    <xf numFmtId="10" fontId="0" fillId="6" borderId="8" xfId="1" applyNumberFormat="1" applyFont="1" applyFill="1" applyBorder="1"/>
    <xf numFmtId="10" fontId="0" fillId="0" borderId="0" xfId="0" applyNumberFormat="1"/>
    <xf numFmtId="0" fontId="11" fillId="0" borderId="0" xfId="0" applyFont="1"/>
    <xf numFmtId="2" fontId="0" fillId="6" borderId="7" xfId="1" applyNumberFormat="1" applyFont="1" applyFill="1" applyBorder="1" applyAlignment="1">
      <alignment horizontal="center"/>
    </xf>
    <xf numFmtId="0" fontId="0" fillId="6" borderId="0" xfId="0" applyFont="1" applyFill="1"/>
    <xf numFmtId="9" fontId="0" fillId="6" borderId="0" xfId="1" applyFont="1" applyFill="1"/>
    <xf numFmtId="0" fontId="0" fillId="0" borderId="0" xfId="0" applyBorder="1"/>
    <xf numFmtId="2" fontId="0" fillId="8" borderId="0" xfId="0" applyNumberFormat="1" applyFill="1"/>
    <xf numFmtId="0" fontId="12" fillId="0" borderId="0" xfId="0" applyFont="1"/>
    <xf numFmtId="0" fontId="13" fillId="0" borderId="0" xfId="0" applyFont="1"/>
    <xf numFmtId="2" fontId="0" fillId="0" borderId="0" xfId="1" applyNumberFormat="1" applyFont="1" applyFill="1"/>
    <xf numFmtId="11" fontId="5" fillId="0" borderId="0" xfId="0" applyNumberFormat="1" applyFont="1"/>
    <xf numFmtId="0" fontId="0" fillId="0" borderId="1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1" fontId="0" fillId="0" borderId="9" xfId="0" applyNumberFormat="1" applyBorder="1"/>
    <xf numFmtId="2" fontId="0" fillId="6" borderId="12" xfId="1" applyNumberFormat="1" applyFont="1" applyFill="1" applyBorder="1"/>
    <xf numFmtId="2" fontId="0" fillId="6" borderId="13" xfId="1" applyNumberFormat="1" applyFont="1" applyFill="1" applyBorder="1"/>
    <xf numFmtId="2" fontId="0" fillId="6" borderId="14" xfId="1" applyNumberFormat="1" applyFont="1" applyFill="1" applyBorder="1"/>
    <xf numFmtId="10" fontId="0" fillId="6" borderId="15" xfId="1" applyNumberFormat="1" applyFont="1" applyFill="1" applyBorder="1"/>
    <xf numFmtId="9" fontId="0" fillId="6" borderId="16" xfId="1" applyFont="1" applyFill="1" applyBorder="1"/>
    <xf numFmtId="9" fontId="0" fillId="6" borderId="17" xfId="1" applyFont="1" applyFill="1" applyBorder="1"/>
    <xf numFmtId="10" fontId="0" fillId="6" borderId="17" xfId="1" applyNumberFormat="1" applyFont="1" applyFill="1" applyBorder="1"/>
    <xf numFmtId="9" fontId="0" fillId="6" borderId="18" xfId="1" applyFont="1" applyFill="1" applyBorder="1"/>
    <xf numFmtId="9" fontId="0" fillId="6" borderId="19" xfId="1" applyFont="1" applyFill="1" applyBorder="1"/>
    <xf numFmtId="9" fontId="0" fillId="6" borderId="20" xfId="1" applyFont="1" applyFill="1" applyBorder="1"/>
    <xf numFmtId="9" fontId="0" fillId="6" borderId="21" xfId="1" applyFont="1" applyFill="1" applyBorder="1"/>
    <xf numFmtId="9" fontId="0" fillId="6" borderId="22" xfId="1" applyFont="1" applyFill="1" applyBorder="1"/>
    <xf numFmtId="10" fontId="0" fillId="6" borderId="22" xfId="1" applyNumberFormat="1" applyFont="1" applyFill="1" applyBorder="1"/>
    <xf numFmtId="9" fontId="0" fillId="6" borderId="23" xfId="1" applyFont="1" applyFill="1" applyBorder="1"/>
    <xf numFmtId="1" fontId="0" fillId="6" borderId="11" xfId="0" applyNumberFormat="1" applyFill="1" applyBorder="1" applyAlignment="1"/>
    <xf numFmtId="1" fontId="0" fillId="6" borderId="12" xfId="0" applyNumberFormat="1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0" xfId="0" applyFill="1"/>
    <xf numFmtId="4" fontId="7" fillId="0" borderId="0" xfId="0" applyNumberFormat="1" applyFont="1"/>
    <xf numFmtId="11" fontId="0" fillId="9" borderId="0" xfId="0" applyNumberFormat="1" applyFill="1"/>
    <xf numFmtId="9" fontId="0" fillId="0" borderId="0" xfId="0" applyNumberFormat="1"/>
    <xf numFmtId="172" fontId="0" fillId="0" borderId="0" xfId="0" applyNumberFormat="1" applyFill="1"/>
    <xf numFmtId="1" fontId="0" fillId="7" borderId="0" xfId="0" applyNumberFormat="1" applyFill="1"/>
    <xf numFmtId="2" fontId="4" fillId="0" borderId="0" xfId="0" applyNumberFormat="1" applyFont="1"/>
    <xf numFmtId="11" fontId="14" fillId="0" borderId="0" xfId="0" applyNumberFormat="1" applyFont="1"/>
    <xf numFmtId="0" fontId="4" fillId="7" borderId="0" xfId="0" applyFont="1" applyFill="1"/>
    <xf numFmtId="0" fontId="0" fillId="0" borderId="0" xfId="1" applyNumberFormat="1" applyFont="1"/>
    <xf numFmtId="11" fontId="0" fillId="5" borderId="0" xfId="0" applyNumberFormat="1" applyFill="1"/>
    <xf numFmtId="2" fontId="4" fillId="5" borderId="0" xfId="0" applyNumberFormat="1" applyFont="1" applyFill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Dietary Content by Life Expectancy</a:t>
            </a:r>
            <a:r>
              <a:rPr lang="en-US" baseline="0"/>
              <a:t> (Highest Left)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Diet!$G$8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Diet!$G$9:$G$21</c:f>
              <c:numCache>
                <c:formatCode>General</c:formatCode>
                <c:ptCount val="13"/>
                <c:pt idx="0">
                  <c:v>49</c:v>
                </c:pt>
                <c:pt idx="1">
                  <c:v>120</c:v>
                </c:pt>
                <c:pt idx="2">
                  <c:v>68</c:v>
                </c:pt>
                <c:pt idx="3">
                  <c:v>45</c:v>
                </c:pt>
                <c:pt idx="4">
                  <c:v>48</c:v>
                </c:pt>
                <c:pt idx="5">
                  <c:v>93</c:v>
                </c:pt>
                <c:pt idx="6">
                  <c:v>47</c:v>
                </c:pt>
                <c:pt idx="7">
                  <c:v>30</c:v>
                </c:pt>
                <c:pt idx="8">
                  <c:v>25</c:v>
                </c:pt>
                <c:pt idx="9">
                  <c:v>110</c:v>
                </c:pt>
                <c:pt idx="10">
                  <c:v>36</c:v>
                </c:pt>
                <c:pt idx="11">
                  <c:v>27</c:v>
                </c:pt>
                <c:pt idx="1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0B-9B42-BCEA-08E680647757}"/>
            </c:ext>
          </c:extLst>
        </c:ser>
        <c:ser>
          <c:idx val="1"/>
          <c:order val="1"/>
          <c:tx>
            <c:strRef>
              <c:f>Diet!$H$8</c:f>
              <c:strCache>
                <c:ptCount val="1"/>
                <c:pt idx="0">
                  <c:v>Sugar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Diet!$H$9:$H$21</c:f>
              <c:numCache>
                <c:formatCode>General</c:formatCode>
                <c:ptCount val="13"/>
                <c:pt idx="0">
                  <c:v>254</c:v>
                </c:pt>
                <c:pt idx="1">
                  <c:v>434</c:v>
                </c:pt>
                <c:pt idx="2">
                  <c:v>384</c:v>
                </c:pt>
                <c:pt idx="3">
                  <c:v>434</c:v>
                </c:pt>
                <c:pt idx="4">
                  <c:v>395</c:v>
                </c:pt>
                <c:pt idx="5">
                  <c:v>394</c:v>
                </c:pt>
                <c:pt idx="6">
                  <c:v>348</c:v>
                </c:pt>
                <c:pt idx="7">
                  <c:v>600</c:v>
                </c:pt>
                <c:pt idx="8">
                  <c:v>71</c:v>
                </c:pt>
                <c:pt idx="9">
                  <c:v>308</c:v>
                </c:pt>
                <c:pt idx="10">
                  <c:v>439</c:v>
                </c:pt>
                <c:pt idx="11">
                  <c:v>236</c:v>
                </c:pt>
                <c:pt idx="12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B-9B42-BCEA-08E680647757}"/>
            </c:ext>
          </c:extLst>
        </c:ser>
        <c:ser>
          <c:idx val="2"/>
          <c:order val="2"/>
          <c:tx>
            <c:strRef>
              <c:f>Diet!$I$8</c:f>
              <c:strCache>
                <c:ptCount val="1"/>
                <c:pt idx="0">
                  <c:v>Oils &amp; Fats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Diet!$I$9:$I$21</c:f>
              <c:numCache>
                <c:formatCode>General</c:formatCode>
                <c:ptCount val="13"/>
                <c:pt idx="0">
                  <c:v>506</c:v>
                </c:pt>
                <c:pt idx="1">
                  <c:v>457</c:v>
                </c:pt>
                <c:pt idx="2">
                  <c:v>774</c:v>
                </c:pt>
                <c:pt idx="3">
                  <c:v>919</c:v>
                </c:pt>
                <c:pt idx="4">
                  <c:v>551</c:v>
                </c:pt>
                <c:pt idx="5">
                  <c:v>609</c:v>
                </c:pt>
                <c:pt idx="6">
                  <c:v>628</c:v>
                </c:pt>
                <c:pt idx="7">
                  <c:v>890</c:v>
                </c:pt>
                <c:pt idx="8">
                  <c:v>334</c:v>
                </c:pt>
                <c:pt idx="9">
                  <c:v>581</c:v>
                </c:pt>
                <c:pt idx="10">
                  <c:v>482</c:v>
                </c:pt>
                <c:pt idx="11">
                  <c:v>330</c:v>
                </c:pt>
                <c:pt idx="12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0B-9B42-BCEA-08E680647757}"/>
            </c:ext>
          </c:extLst>
        </c:ser>
        <c:ser>
          <c:idx val="3"/>
          <c:order val="3"/>
          <c:tx>
            <c:strRef>
              <c:f>Diet!$J$8</c:f>
              <c:strCache>
                <c:ptCount val="1"/>
                <c:pt idx="0">
                  <c:v>Meat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Diet!$J$9:$J$21</c:f>
              <c:numCache>
                <c:formatCode>General</c:formatCode>
                <c:ptCount val="13"/>
                <c:pt idx="0">
                  <c:v>318</c:v>
                </c:pt>
                <c:pt idx="1">
                  <c:v>710</c:v>
                </c:pt>
                <c:pt idx="2">
                  <c:v>517</c:v>
                </c:pt>
                <c:pt idx="3">
                  <c:v>390</c:v>
                </c:pt>
                <c:pt idx="4">
                  <c:v>439</c:v>
                </c:pt>
                <c:pt idx="5">
                  <c:v>476</c:v>
                </c:pt>
                <c:pt idx="6">
                  <c:v>388</c:v>
                </c:pt>
                <c:pt idx="7">
                  <c:v>459</c:v>
                </c:pt>
                <c:pt idx="8">
                  <c:v>533</c:v>
                </c:pt>
                <c:pt idx="9">
                  <c:v>281</c:v>
                </c:pt>
                <c:pt idx="10">
                  <c:v>372</c:v>
                </c:pt>
                <c:pt idx="11">
                  <c:v>24</c:v>
                </c:pt>
                <c:pt idx="12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0B-9B42-BCEA-08E680647757}"/>
            </c:ext>
          </c:extLst>
        </c:ser>
        <c:ser>
          <c:idx val="4"/>
          <c:order val="4"/>
          <c:tx>
            <c:strRef>
              <c:f>Diet!$K$8</c:f>
              <c:strCache>
                <c:ptCount val="1"/>
                <c:pt idx="0">
                  <c:v>Dairy &amp; Eggs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Diet!$K$9:$K$21</c:f>
              <c:numCache>
                <c:formatCode>General</c:formatCode>
                <c:ptCount val="13"/>
                <c:pt idx="0">
                  <c:v>189</c:v>
                </c:pt>
                <c:pt idx="1">
                  <c:v>573</c:v>
                </c:pt>
                <c:pt idx="2">
                  <c:v>371</c:v>
                </c:pt>
                <c:pt idx="3">
                  <c:v>242</c:v>
                </c:pt>
                <c:pt idx="4">
                  <c:v>393</c:v>
                </c:pt>
                <c:pt idx="5">
                  <c:v>384</c:v>
                </c:pt>
                <c:pt idx="6">
                  <c:v>85</c:v>
                </c:pt>
                <c:pt idx="7">
                  <c:v>424</c:v>
                </c:pt>
                <c:pt idx="8">
                  <c:v>134</c:v>
                </c:pt>
                <c:pt idx="9">
                  <c:v>161</c:v>
                </c:pt>
                <c:pt idx="10">
                  <c:v>328</c:v>
                </c:pt>
                <c:pt idx="11">
                  <c:v>139</c:v>
                </c:pt>
                <c:pt idx="12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0B-9B42-BCEA-08E680647757}"/>
            </c:ext>
          </c:extLst>
        </c:ser>
        <c:ser>
          <c:idx val="5"/>
          <c:order val="5"/>
          <c:tx>
            <c:strRef>
              <c:f>Diet!$L$8</c:f>
              <c:strCache>
                <c:ptCount val="1"/>
                <c:pt idx="0">
                  <c:v>Fruits &amp; Vegetables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Diet!$L$9:$L$21</c:f>
              <c:numCache>
                <c:formatCode>General</c:formatCode>
                <c:ptCount val="13"/>
                <c:pt idx="0">
                  <c:v>124</c:v>
                </c:pt>
                <c:pt idx="1">
                  <c:v>196</c:v>
                </c:pt>
                <c:pt idx="2">
                  <c:v>183</c:v>
                </c:pt>
                <c:pt idx="3">
                  <c:v>214</c:v>
                </c:pt>
                <c:pt idx="4">
                  <c:v>211</c:v>
                </c:pt>
                <c:pt idx="5">
                  <c:v>212</c:v>
                </c:pt>
                <c:pt idx="6">
                  <c:v>245</c:v>
                </c:pt>
                <c:pt idx="7">
                  <c:v>188</c:v>
                </c:pt>
                <c:pt idx="8">
                  <c:v>335</c:v>
                </c:pt>
                <c:pt idx="9">
                  <c:v>290</c:v>
                </c:pt>
                <c:pt idx="10">
                  <c:v>162</c:v>
                </c:pt>
                <c:pt idx="11">
                  <c:v>131</c:v>
                </c:pt>
                <c:pt idx="1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0B-9B42-BCEA-08E680647757}"/>
            </c:ext>
          </c:extLst>
        </c:ser>
        <c:ser>
          <c:idx val="6"/>
          <c:order val="6"/>
          <c:tx>
            <c:strRef>
              <c:f>Diet!$M$8</c:f>
              <c:strCache>
                <c:ptCount val="1"/>
                <c:pt idx="0">
                  <c:v>Starchy Roots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Diet!$M$9:$M$21</c:f>
              <c:numCache>
                <c:formatCode>General</c:formatCode>
                <c:ptCount val="13"/>
                <c:pt idx="0">
                  <c:v>60</c:v>
                </c:pt>
                <c:pt idx="1">
                  <c:v>54</c:v>
                </c:pt>
                <c:pt idx="2">
                  <c:v>90</c:v>
                </c:pt>
                <c:pt idx="3">
                  <c:v>120</c:v>
                </c:pt>
                <c:pt idx="4">
                  <c:v>154</c:v>
                </c:pt>
                <c:pt idx="5">
                  <c:v>181</c:v>
                </c:pt>
                <c:pt idx="6">
                  <c:v>40</c:v>
                </c:pt>
                <c:pt idx="7">
                  <c:v>92</c:v>
                </c:pt>
                <c:pt idx="8">
                  <c:v>152</c:v>
                </c:pt>
                <c:pt idx="9">
                  <c:v>39</c:v>
                </c:pt>
                <c:pt idx="10">
                  <c:v>207</c:v>
                </c:pt>
                <c:pt idx="11">
                  <c:v>60</c:v>
                </c:pt>
                <c:pt idx="12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0B-9B42-BCEA-08E680647757}"/>
            </c:ext>
          </c:extLst>
        </c:ser>
        <c:ser>
          <c:idx val="7"/>
          <c:order val="7"/>
          <c:tx>
            <c:strRef>
              <c:f>Diet!$N$8</c:f>
              <c:strCache>
                <c:ptCount val="1"/>
                <c:pt idx="0">
                  <c:v>Pulses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Diet!$N$9:$N$21</c:f>
              <c:numCache>
                <c:formatCode>General</c:formatCode>
                <c:ptCount val="13"/>
                <c:pt idx="0">
                  <c:v>13</c:v>
                </c:pt>
                <c:pt idx="1">
                  <c:v>7</c:v>
                </c:pt>
                <c:pt idx="2">
                  <c:v>12</c:v>
                </c:pt>
                <c:pt idx="3">
                  <c:v>115</c:v>
                </c:pt>
                <c:pt idx="4">
                  <c:v>31</c:v>
                </c:pt>
                <c:pt idx="5">
                  <c:v>32</c:v>
                </c:pt>
                <c:pt idx="6">
                  <c:v>12</c:v>
                </c:pt>
                <c:pt idx="7">
                  <c:v>39</c:v>
                </c:pt>
                <c:pt idx="8">
                  <c:v>12</c:v>
                </c:pt>
                <c:pt idx="9">
                  <c:v>58</c:v>
                </c:pt>
                <c:pt idx="10">
                  <c:v>17</c:v>
                </c:pt>
                <c:pt idx="11">
                  <c:v>137</c:v>
                </c:pt>
                <c:pt idx="12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0B-9B42-BCEA-08E680647757}"/>
            </c:ext>
          </c:extLst>
        </c:ser>
        <c:ser>
          <c:idx val="8"/>
          <c:order val="8"/>
          <c:tx>
            <c:strRef>
              <c:f>Diet!$O$8</c:f>
              <c:strCache>
                <c:ptCount val="1"/>
                <c:pt idx="0">
                  <c:v>Cereals &amp; Grains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Diet!$O$9:$O$21</c:f>
              <c:numCache>
                <c:formatCode>General</c:formatCode>
                <c:ptCount val="13"/>
                <c:pt idx="0">
                  <c:v>1082</c:v>
                </c:pt>
                <c:pt idx="1">
                  <c:v>698</c:v>
                </c:pt>
                <c:pt idx="2">
                  <c:v>741</c:v>
                </c:pt>
                <c:pt idx="3">
                  <c:v>909</c:v>
                </c:pt>
                <c:pt idx="4">
                  <c:v>1073</c:v>
                </c:pt>
                <c:pt idx="5">
                  <c:v>890</c:v>
                </c:pt>
                <c:pt idx="6">
                  <c:v>1406</c:v>
                </c:pt>
                <c:pt idx="7">
                  <c:v>801</c:v>
                </c:pt>
                <c:pt idx="8">
                  <c:v>1417</c:v>
                </c:pt>
                <c:pt idx="9">
                  <c:v>1427</c:v>
                </c:pt>
                <c:pt idx="10">
                  <c:v>1153</c:v>
                </c:pt>
                <c:pt idx="11">
                  <c:v>1361</c:v>
                </c:pt>
                <c:pt idx="12">
                  <c:v>1315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50B-9B42-BCEA-08E680647757}"/>
            </c:ext>
          </c:extLst>
        </c:ser>
        <c:ser>
          <c:idx val="9"/>
          <c:order val="9"/>
          <c:tx>
            <c:strRef>
              <c:f>Diet!$P$8</c:f>
              <c:strCache>
                <c:ptCount val="1"/>
                <c:pt idx="0">
                  <c:v>Alcoholic Beverages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Diet!$P$9:$P$21</c:f>
              <c:numCache>
                <c:formatCode>General</c:formatCode>
                <c:ptCount val="13"/>
                <c:pt idx="0">
                  <c:v>131</c:v>
                </c:pt>
                <c:pt idx="1">
                  <c:v>131</c:v>
                </c:pt>
                <c:pt idx="2">
                  <c:v>136</c:v>
                </c:pt>
                <c:pt idx="3">
                  <c:v>106</c:v>
                </c:pt>
                <c:pt idx="4">
                  <c:v>305</c:v>
                </c:pt>
                <c:pt idx="5">
                  <c:v>153</c:v>
                </c:pt>
                <c:pt idx="6">
                  <c:v>135</c:v>
                </c:pt>
                <c:pt idx="7">
                  <c:v>159</c:v>
                </c:pt>
                <c:pt idx="8">
                  <c:v>95</c:v>
                </c:pt>
                <c:pt idx="9">
                  <c:v>0</c:v>
                </c:pt>
                <c:pt idx="10">
                  <c:v>165</c:v>
                </c:pt>
                <c:pt idx="11">
                  <c:v>14</c:v>
                </c:pt>
                <c:pt idx="1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50B-9B42-BCEA-08E680647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506703"/>
        <c:axId val="1275594799"/>
      </c:lineChart>
      <c:catAx>
        <c:axId val="127550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594799"/>
        <c:crosses val="autoZero"/>
        <c:auto val="1"/>
        <c:lblAlgn val="ctr"/>
        <c:lblOffset val="100"/>
        <c:noMultiLvlLbl val="0"/>
      </c:catAx>
      <c:valAx>
        <c:axId val="127559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506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80818</xdr:colOff>
      <xdr:row>28</xdr:row>
      <xdr:rowOff>46183</xdr:rowOff>
    </xdr:from>
    <xdr:to>
      <xdr:col>15</xdr:col>
      <xdr:colOff>808182</xdr:colOff>
      <xdr:row>58</xdr:row>
      <xdr:rowOff>138545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0A0991-E2AA-074F-8531-0F9070446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5416-020F-0944-9A66-25BCA98D2542}">
  <dimension ref="A1:I47"/>
  <sheetViews>
    <sheetView workbookViewId="0">
      <selection activeCell="B10" sqref="B10"/>
    </sheetView>
  </sheetViews>
  <sheetFormatPr baseColWidth="10" defaultRowHeight="16"/>
  <cols>
    <col min="1" max="1" width="22.1640625" bestFit="1" customWidth="1"/>
    <col min="2" max="2" width="20.6640625" customWidth="1"/>
    <col min="3" max="3" width="14.1640625" bestFit="1" customWidth="1"/>
    <col min="4" max="4" width="12.1640625" bestFit="1" customWidth="1"/>
    <col min="5" max="5" width="11.6640625" bestFit="1" customWidth="1"/>
    <col min="6" max="6" width="12.1640625" bestFit="1" customWidth="1"/>
    <col min="8" max="8" width="20.1640625" bestFit="1" customWidth="1"/>
  </cols>
  <sheetData>
    <row r="1" spans="1:9">
      <c r="A1" t="s">
        <v>69</v>
      </c>
      <c r="B1" s="76">
        <f>Habitat!E1</f>
        <v>1000000</v>
      </c>
      <c r="E1" s="4"/>
    </row>
    <row r="2" spans="1:9">
      <c r="A2" t="s">
        <v>300</v>
      </c>
      <c r="B2" s="49">
        <v>1</v>
      </c>
      <c r="E2" s="56"/>
      <c r="G2" s="3"/>
    </row>
    <row r="3" spans="1:9">
      <c r="A3" t="s">
        <v>634</v>
      </c>
      <c r="B3" s="43">
        <f>Habitat!I22/B2*Habitat!C25*0.91</f>
        <v>9928678279.6740398</v>
      </c>
      <c r="C3" s="58"/>
      <c r="D3" s="34"/>
    </row>
    <row r="4" spans="1:9">
      <c r="A4" s="90" t="s">
        <v>650</v>
      </c>
      <c r="B4" s="89">
        <f>CEILING(POWER(B3*3/(4*PI()),1/3),2.5)*4</f>
        <v>5340</v>
      </c>
      <c r="C4" t="s">
        <v>1</v>
      </c>
      <c r="D4">
        <f>Conversion!B12*0.1</f>
        <v>0.98000000000000009</v>
      </c>
    </row>
    <row r="5" spans="1:9">
      <c r="A5" s="91"/>
      <c r="B5" s="92"/>
      <c r="C5" s="61"/>
    </row>
    <row r="6" spans="1:9">
      <c r="A6" t="s">
        <v>307</v>
      </c>
      <c r="B6" s="57">
        <f>Habitat!E3</f>
        <v>795</v>
      </c>
      <c r="C6">
        <f>B6*2</f>
        <v>1590</v>
      </c>
      <c r="E6" s="8"/>
    </row>
    <row r="7" spans="1:9">
      <c r="B7" s="2"/>
    </row>
    <row r="8" spans="1:9">
      <c r="A8" t="s">
        <v>732</v>
      </c>
      <c r="B8" s="2"/>
      <c r="D8" s="2">
        <f>D10*0.28</f>
        <v>147534453547.29562</v>
      </c>
      <c r="E8" t="s">
        <v>733</v>
      </c>
      <c r="F8" s="48">
        <f>D8*0.00010197162129779</f>
        <v>15044327.42550122</v>
      </c>
      <c r="G8" t="s">
        <v>734</v>
      </c>
    </row>
    <row r="9" spans="1:9">
      <c r="A9" t="s">
        <v>697</v>
      </c>
      <c r="B9" s="41">
        <v>9800000000</v>
      </c>
      <c r="C9" s="2" t="e">
        <f>#REF!</f>
        <v>#REF!</v>
      </c>
      <c r="D9" s="119">
        <f>B9</f>
        <v>9800000000</v>
      </c>
      <c r="E9" s="2" t="s">
        <v>33</v>
      </c>
      <c r="F9" s="3">
        <f>D9/(1046000*1016.4)</f>
        <v>9.2178520824444696</v>
      </c>
      <c r="G9" s="2"/>
      <c r="I9" s="3">
        <f>D9/D11</f>
        <v>1.8951525689528119E-2</v>
      </c>
    </row>
    <row r="10" spans="1:9">
      <c r="A10" t="s">
        <v>708</v>
      </c>
      <c r="B10" s="41">
        <f>B11+B9</f>
        <v>1027800000000</v>
      </c>
      <c r="C10" s="2" t="e">
        <f>#REF!</f>
        <v>#REF!</v>
      </c>
      <c r="D10" s="39">
        <f>SUM(D12:D16)+D9</f>
        <v>526908762668.91284</v>
      </c>
      <c r="E10" t="s">
        <v>33</v>
      </c>
      <c r="F10" s="3">
        <f>D10/(1046000*1016.4)</f>
        <v>495.60888114549761</v>
      </c>
      <c r="G10" t="s">
        <v>42</v>
      </c>
    </row>
    <row r="11" spans="1:9">
      <c r="A11" t="s">
        <v>40</v>
      </c>
      <c r="B11" s="41">
        <f>SUM(B12:B16)</f>
        <v>1018000000000</v>
      </c>
      <c r="C11" s="2" t="e">
        <f>C10-C9</f>
        <v>#REF!</v>
      </c>
      <c r="D11" s="39">
        <f>SUM(D12:D16)</f>
        <v>517108762668.91284</v>
      </c>
      <c r="F11" s="3">
        <f>D11/(1046000*1016.4)</f>
        <v>486.39102906305317</v>
      </c>
    </row>
    <row r="12" spans="1:9">
      <c r="A12" t="s">
        <v>814</v>
      </c>
      <c r="B12" s="52">
        <v>1000000000000</v>
      </c>
      <c r="D12" s="51">
        <f>SUM(Structure!B18:B29)</f>
        <v>500996086607.9342</v>
      </c>
      <c r="E12" t="s">
        <v>33</v>
      </c>
      <c r="F12" s="3">
        <f>D12/(1046000*1016.4)</f>
        <v>471.23549186076286</v>
      </c>
      <c r="G12" t="s">
        <v>42</v>
      </c>
    </row>
    <row r="13" spans="1:9">
      <c r="A13" t="s">
        <v>578</v>
      </c>
      <c r="B13" s="52">
        <v>11500000000</v>
      </c>
      <c r="D13" s="39">
        <f>Structure!B23*0.25+(Structure!B18+Structure!B19)*F13</f>
        <v>9612676060.9786377</v>
      </c>
      <c r="E13" s="2" t="s">
        <v>33</v>
      </c>
      <c r="F13" s="41">
        <v>10</v>
      </c>
      <c r="G13" t="s">
        <v>534</v>
      </c>
    </row>
    <row r="14" spans="1:9">
      <c r="A14" t="s">
        <v>756</v>
      </c>
      <c r="B14" s="52">
        <f>F14*B1</f>
        <v>5000000000</v>
      </c>
      <c r="D14" s="51">
        <f>F14*B1</f>
        <v>5000000000</v>
      </c>
      <c r="E14" t="s">
        <v>112</v>
      </c>
      <c r="F14" s="52">
        <v>5000</v>
      </c>
      <c r="G14" t="s">
        <v>286</v>
      </c>
    </row>
    <row r="15" spans="1:9">
      <c r="A15" t="s">
        <v>200</v>
      </c>
      <c r="B15" s="41">
        <v>1000000000</v>
      </c>
      <c r="D15" s="2">
        <f>B15</f>
        <v>1000000000</v>
      </c>
      <c r="E15" s="2"/>
    </row>
    <row r="16" spans="1:9">
      <c r="A16" t="s">
        <v>722</v>
      </c>
      <c r="B16" s="41">
        <v>500000000</v>
      </c>
      <c r="D16" s="2">
        <f>B16</f>
        <v>500000000</v>
      </c>
      <c r="E16" s="2"/>
      <c r="F16" s="3">
        <f>D16/(1046000*1016.4)</f>
        <v>0.47029857563492189</v>
      </c>
      <c r="H16" s="48">
        <f>D16/(9500*1016.4)</f>
        <v>51.782348433066133</v>
      </c>
      <c r="I16" t="s">
        <v>825</v>
      </c>
    </row>
    <row r="18" spans="1:7">
      <c r="A18" t="s">
        <v>816</v>
      </c>
      <c r="B18" s="2">
        <v>5000000000</v>
      </c>
      <c r="E18" s="2"/>
      <c r="G18" s="2"/>
    </row>
    <row r="19" spans="1:7">
      <c r="A19" t="s">
        <v>41</v>
      </c>
      <c r="B19" s="52">
        <v>5000000000</v>
      </c>
      <c r="C19" s="2" t="e">
        <f>#REF!</f>
        <v>#REF!</v>
      </c>
      <c r="D19" s="51" t="e">
        <f>#REF!</f>
        <v>#REF!</v>
      </c>
      <c r="E19" s="2" t="s">
        <v>33</v>
      </c>
      <c r="F19" s="2" t="s">
        <v>721</v>
      </c>
    </row>
    <row r="20" spans="1:7">
      <c r="A20" t="s">
        <v>716</v>
      </c>
      <c r="B20" s="41">
        <v>5000000000</v>
      </c>
      <c r="D20" s="2">
        <f>B20</f>
        <v>5000000000</v>
      </c>
    </row>
    <row r="22" spans="1:7">
      <c r="B22" s="49"/>
      <c r="E22" t="s">
        <v>292</v>
      </c>
      <c r="F22" t="s">
        <v>291</v>
      </c>
    </row>
    <row r="23" spans="1:7">
      <c r="B23" s="39">
        <f>SUM(B12:B18)</f>
        <v>1023000000000</v>
      </c>
      <c r="C23" t="s">
        <v>33</v>
      </c>
      <c r="E23" s="2"/>
    </row>
    <row r="24" spans="1:7">
      <c r="A24" t="s">
        <v>122</v>
      </c>
      <c r="B24" s="43">
        <f>D24*10</f>
        <v>10000</v>
      </c>
      <c r="D24">
        <v>1000</v>
      </c>
    </row>
    <row r="25" spans="1:7">
      <c r="B25" s="2"/>
      <c r="C25" s="37"/>
      <c r="D25" s="37"/>
    </row>
    <row r="26" spans="1:7">
      <c r="A26" t="s">
        <v>40</v>
      </c>
      <c r="B26" s="38">
        <f>D12</f>
        <v>500996086607.9342</v>
      </c>
      <c r="C26" s="6">
        <f>Structure!B18/D12</f>
        <v>2.7570005864182222E-9</v>
      </c>
      <c r="D26" s="6"/>
    </row>
    <row r="27" spans="1:7">
      <c r="B27" s="50">
        <f>D12/Conversion!B32</f>
        <v>471.23549186076286</v>
      </c>
      <c r="C27" t="s">
        <v>42</v>
      </c>
    </row>
    <row r="28" spans="1:7">
      <c r="A28" t="s">
        <v>128</v>
      </c>
      <c r="B28" s="39">
        <f>'Power Consumption'!C40</f>
        <v>5.0520903105145081E-11</v>
      </c>
      <c r="C28" t="s">
        <v>130</v>
      </c>
      <c r="E28" t="s">
        <v>129</v>
      </c>
      <c r="F28" t="s">
        <v>36</v>
      </c>
    </row>
    <row r="29" spans="1:7">
      <c r="B29" s="2"/>
      <c r="F29" s="14"/>
    </row>
    <row r="31" spans="1:7">
      <c r="C31" s="2"/>
    </row>
    <row r="32" spans="1:7">
      <c r="C32" s="2"/>
      <c r="D32" s="2"/>
    </row>
    <row r="35" spans="2:7">
      <c r="C35" s="2"/>
    </row>
    <row r="37" spans="2:7">
      <c r="C37" s="2"/>
    </row>
    <row r="38" spans="2:7">
      <c r="C38" s="36"/>
      <c r="E38" s="2"/>
      <c r="G38" s="2"/>
    </row>
    <row r="39" spans="2:7">
      <c r="C39" s="2"/>
      <c r="E39" s="2"/>
      <c r="G39" s="2"/>
    </row>
    <row r="40" spans="2:7">
      <c r="B40" s="2"/>
    </row>
    <row r="41" spans="2:7">
      <c r="B41" s="2"/>
    </row>
    <row r="42" spans="2:7">
      <c r="B42" s="45"/>
    </row>
    <row r="43" spans="2:7">
      <c r="B43" s="2"/>
    </row>
    <row r="44" spans="2:7">
      <c r="B44" s="2"/>
    </row>
    <row r="46" spans="2:7">
      <c r="B46" s="2"/>
    </row>
    <row r="47" spans="2:7">
      <c r="B47" s="2"/>
      <c r="C47" s="3"/>
    </row>
  </sheetData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2313F-8851-C54C-99BB-2F5A73C6B364}">
  <sheetPr>
    <pageSetUpPr fitToPage="1"/>
  </sheetPr>
  <dimension ref="A1:J44"/>
  <sheetViews>
    <sheetView workbookViewId="0"/>
  </sheetViews>
  <sheetFormatPr baseColWidth="10" defaultRowHeight="16"/>
  <cols>
    <col min="1" max="1" width="19.1640625" bestFit="1" customWidth="1"/>
    <col min="2" max="2" width="22.1640625" bestFit="1" customWidth="1"/>
    <col min="3" max="3" width="4.6640625" customWidth="1"/>
    <col min="4" max="4" width="20.5" style="96" bestFit="1" customWidth="1"/>
    <col min="5" max="5" width="16.33203125" style="97" bestFit="1" customWidth="1"/>
    <col min="6" max="6" width="20.5" style="96" bestFit="1" customWidth="1"/>
    <col min="7" max="7" width="16.33203125" style="97" bestFit="1" customWidth="1"/>
  </cols>
  <sheetData>
    <row r="1" spans="1:8">
      <c r="A1" t="s">
        <v>549</v>
      </c>
      <c r="D1" s="94" t="e">
        <f>#REF!</f>
        <v>#REF!</v>
      </c>
      <c r="E1" s="95"/>
      <c r="F1" s="94" t="e">
        <f>Vehicle!#REF!</f>
        <v>#REF!</v>
      </c>
      <c r="G1" s="95"/>
      <c r="H1" t="s">
        <v>679</v>
      </c>
    </row>
    <row r="2" spans="1:8">
      <c r="D2" s="129" t="s">
        <v>680</v>
      </c>
      <c r="E2" s="130"/>
      <c r="F2" s="129" t="s">
        <v>674</v>
      </c>
      <c r="G2" s="130"/>
    </row>
    <row r="3" spans="1:8">
      <c r="A3" t="s">
        <v>548</v>
      </c>
      <c r="C3" t="s">
        <v>26</v>
      </c>
      <c r="D3" s="96" t="s">
        <v>576</v>
      </c>
      <c r="E3" s="97" t="s">
        <v>27</v>
      </c>
      <c r="F3" s="96" t="s">
        <v>576</v>
      </c>
      <c r="G3" s="97" t="s">
        <v>27</v>
      </c>
      <c r="H3" t="e">
        <f>E9</f>
        <v>#REF!</v>
      </c>
    </row>
    <row r="4" spans="1:8">
      <c r="A4" t="s">
        <v>678</v>
      </c>
      <c r="D4" s="96" t="e">
        <f>D1*#REF!</f>
        <v>#REF!</v>
      </c>
    </row>
    <row r="5" spans="1:8">
      <c r="A5" t="s">
        <v>555</v>
      </c>
      <c r="D5" s="96" t="e">
        <f>SUM(D6:D8)</f>
        <v>#REF!</v>
      </c>
      <c r="F5" s="98" t="e">
        <f>SUM(F6:F8)</f>
        <v>#REF!</v>
      </c>
    </row>
    <row r="6" spans="1:8">
      <c r="A6" t="s">
        <v>30</v>
      </c>
      <c r="B6">
        <f>100000*0.25</f>
        <v>25000</v>
      </c>
      <c r="D6" s="96" t="e">
        <f>CEILING(AVERAGE(#REF!),1)</f>
        <v>#REF!</v>
      </c>
      <c r="F6" s="96" t="e">
        <f>#REF!</f>
        <v>#REF!</v>
      </c>
    </row>
    <row r="7" spans="1:8">
      <c r="A7" t="s">
        <v>554</v>
      </c>
      <c r="B7">
        <f>CEILING(B6/18,1)</f>
        <v>1389</v>
      </c>
      <c r="D7" s="96" t="e">
        <f>CEILING(AVERAGE(#REF!),1)</f>
        <v>#REF!</v>
      </c>
      <c r="F7" s="98" t="e">
        <f>#REF!</f>
        <v>#REF!</v>
      </c>
    </row>
    <row r="8" spans="1:8">
      <c r="A8" t="s">
        <v>550</v>
      </c>
      <c r="B8">
        <f>100000*0.15</f>
        <v>15000</v>
      </c>
      <c r="D8" s="96" t="e">
        <f>CEILING(AVERAGE(#REF!)*D1,1)</f>
        <v>#REF!</v>
      </c>
      <c r="F8" s="96" t="e">
        <f>CEILING(0*F1,1)</f>
        <v>#REF!</v>
      </c>
    </row>
    <row r="9" spans="1:8">
      <c r="A9" t="s">
        <v>551</v>
      </c>
      <c r="D9" s="96" t="e">
        <f>D1-SUM(D6:D8)</f>
        <v>#REF!</v>
      </c>
      <c r="E9" s="97" t="e">
        <f>SUM(D10:D12)</f>
        <v>#REF!</v>
      </c>
      <c r="F9" s="98" t="e">
        <f>F1-SUM(F6:F8)</f>
        <v>#REF!</v>
      </c>
      <c r="G9" s="97" t="e">
        <f>SUM(F10:F12)</f>
        <v>#REF!</v>
      </c>
    </row>
    <row r="10" spans="1:8">
      <c r="A10" t="s">
        <v>551</v>
      </c>
      <c r="B10" t="s">
        <v>540</v>
      </c>
      <c r="D10" s="96" t="e">
        <f>CEILING(SUM(E16:E25),1)</f>
        <v>#REF!</v>
      </c>
      <c r="F10" s="96" t="e">
        <f>CEILING(SUM(G16:G25),1)</f>
        <v>#REF!</v>
      </c>
    </row>
    <row r="11" spans="1:8">
      <c r="A11" t="s">
        <v>551</v>
      </c>
      <c r="B11" t="s">
        <v>559</v>
      </c>
      <c r="D11" s="96" t="e">
        <f>D30</f>
        <v>#REF!</v>
      </c>
      <c r="F11" s="96" t="e">
        <f>F30</f>
        <v>#REF!</v>
      </c>
    </row>
    <row r="12" spans="1:8">
      <c r="A12" t="s">
        <v>551</v>
      </c>
      <c r="B12" t="s">
        <v>558</v>
      </c>
      <c r="D12" s="96">
        <f>E38</f>
        <v>87</v>
      </c>
      <c r="F12" s="96" t="e">
        <f>G38</f>
        <v>#REF!</v>
      </c>
    </row>
    <row r="13" spans="1:8">
      <c r="A13" t="s">
        <v>551</v>
      </c>
      <c r="B13" t="s">
        <v>446</v>
      </c>
    </row>
    <row r="15" spans="1:8">
      <c r="A15" t="s">
        <v>560</v>
      </c>
      <c r="B15" t="s">
        <v>547</v>
      </c>
      <c r="E15" s="97" t="e">
        <f>SUM(E16:E26)</f>
        <v>#REF!</v>
      </c>
      <c r="G15" s="97" t="e">
        <f>SUM(G16:G26)</f>
        <v>#REF!</v>
      </c>
    </row>
    <row r="16" spans="1:8">
      <c r="A16" t="s">
        <v>545</v>
      </c>
      <c r="B16">
        <v>1419</v>
      </c>
      <c r="D16" s="96" t="e">
        <f>FLOOR(B16/100000*$D$1,0.1)</f>
        <v>#REF!</v>
      </c>
      <c r="E16" s="97" t="e">
        <f>IF(D16&gt;C16,FLOOR(D16,1),C16)</f>
        <v>#REF!</v>
      </c>
      <c r="F16" s="96" t="e">
        <f>FLOOR(B16/100000*$F$1,0.1)</f>
        <v>#REF!</v>
      </c>
      <c r="G16" s="97" t="e">
        <f>IF(F16&gt;C16,FLOOR(F16,1),C16)</f>
        <v>#REF!</v>
      </c>
      <c r="H16" t="s">
        <v>570</v>
      </c>
    </row>
    <row r="17" spans="1:10">
      <c r="A17" t="s">
        <v>544</v>
      </c>
      <c r="B17">
        <v>568</v>
      </c>
      <c r="D17" s="96" t="e">
        <f t="shared" ref="D17:D26" si="0">FLOOR(B17/100000*$D$1,0.1)</f>
        <v>#REF!</v>
      </c>
      <c r="E17" s="97" t="e">
        <f t="shared" ref="E17:E28" si="1">IF(D17&gt;C17,FLOOR(D17,1),C17)</f>
        <v>#REF!</v>
      </c>
      <c r="F17" s="96" t="e">
        <f t="shared" ref="F17:F26" si="2">FLOOR(B17/100000*$F$1,0.1)</f>
        <v>#REF!</v>
      </c>
      <c r="G17" s="97" t="e">
        <f t="shared" ref="G17:G26" si="3">IF(F17&gt;C17,FLOOR(F17,1),C17)</f>
        <v>#REF!</v>
      </c>
      <c r="H17" t="s">
        <v>570</v>
      </c>
    </row>
    <row r="18" spans="1:10">
      <c r="A18" t="s">
        <v>542</v>
      </c>
      <c r="B18">
        <v>508</v>
      </c>
      <c r="D18" s="96" t="e">
        <f t="shared" si="0"/>
        <v>#REF!</v>
      </c>
      <c r="E18" s="97" t="e">
        <f t="shared" si="1"/>
        <v>#REF!</v>
      </c>
      <c r="F18" s="96" t="e">
        <f t="shared" si="2"/>
        <v>#REF!</v>
      </c>
      <c r="G18" s="97" t="e">
        <f t="shared" si="3"/>
        <v>#REF!</v>
      </c>
      <c r="H18" t="s">
        <v>570</v>
      </c>
    </row>
    <row r="19" spans="1:10">
      <c r="A19" t="s">
        <v>553</v>
      </c>
      <c r="B19">
        <f>FLOOR(B6*(18-4)/(18*12),1)</f>
        <v>1620</v>
      </c>
      <c r="C19">
        <v>1</v>
      </c>
      <c r="D19" s="96" t="e">
        <f t="shared" si="0"/>
        <v>#REF!</v>
      </c>
      <c r="E19" s="97" t="e">
        <f t="shared" si="1"/>
        <v>#REF!</v>
      </c>
      <c r="F19" s="96" t="e">
        <f t="shared" si="2"/>
        <v>#REF!</v>
      </c>
      <c r="G19" s="97" t="e">
        <f t="shared" si="3"/>
        <v>#REF!</v>
      </c>
      <c r="H19" t="s">
        <v>556</v>
      </c>
    </row>
    <row r="20" spans="1:10">
      <c r="A20" t="s">
        <v>571</v>
      </c>
      <c r="B20">
        <v>300</v>
      </c>
      <c r="C20">
        <v>1</v>
      </c>
      <c r="D20" s="96" t="e">
        <f t="shared" si="0"/>
        <v>#REF!</v>
      </c>
      <c r="E20" s="97" t="e">
        <f t="shared" ref="E20" si="4">IF(D20&gt;C20,FLOOR(D20,1),C20)</f>
        <v>#REF!</v>
      </c>
      <c r="F20" s="96" t="e">
        <f t="shared" si="2"/>
        <v>#REF!</v>
      </c>
      <c r="G20" s="97" t="e">
        <f t="shared" si="3"/>
        <v>#REF!</v>
      </c>
      <c r="H20" t="s">
        <v>677</v>
      </c>
      <c r="J20" t="s">
        <v>572</v>
      </c>
    </row>
    <row r="21" spans="1:10">
      <c r="A21" t="s">
        <v>546</v>
      </c>
      <c r="B21">
        <v>667</v>
      </c>
      <c r="D21" s="96" t="e">
        <f t="shared" si="0"/>
        <v>#REF!</v>
      </c>
      <c r="E21" s="97" t="e">
        <f t="shared" si="1"/>
        <v>#REF!</v>
      </c>
      <c r="F21" s="96" t="e">
        <f t="shared" si="2"/>
        <v>#REF!</v>
      </c>
      <c r="G21" s="97" t="e">
        <f t="shared" si="3"/>
        <v>#REF!</v>
      </c>
      <c r="H21" t="s">
        <v>570</v>
      </c>
    </row>
    <row r="22" spans="1:10">
      <c r="A22" t="s">
        <v>539</v>
      </c>
      <c r="B22">
        <v>95</v>
      </c>
      <c r="C22">
        <v>8</v>
      </c>
      <c r="D22" s="96" t="e">
        <f t="shared" si="0"/>
        <v>#REF!</v>
      </c>
      <c r="E22" s="97" t="e">
        <f t="shared" si="1"/>
        <v>#REF!</v>
      </c>
      <c r="F22" s="96" t="e">
        <f t="shared" si="2"/>
        <v>#REF!</v>
      </c>
      <c r="G22" s="97" t="e">
        <f t="shared" si="3"/>
        <v>#REF!</v>
      </c>
      <c r="H22" t="s">
        <v>561</v>
      </c>
    </row>
    <row r="23" spans="1:10">
      <c r="A23" t="s">
        <v>541</v>
      </c>
      <c r="B23">
        <v>3594</v>
      </c>
      <c r="D23" s="96" t="e">
        <f t="shared" si="0"/>
        <v>#REF!</v>
      </c>
      <c r="E23" s="97" t="e">
        <f t="shared" si="1"/>
        <v>#REF!</v>
      </c>
      <c r="F23" s="96" t="e">
        <f t="shared" si="2"/>
        <v>#REF!</v>
      </c>
      <c r="G23" s="97" t="e">
        <f t="shared" si="3"/>
        <v>#REF!</v>
      </c>
      <c r="H23" t="s">
        <v>570</v>
      </c>
    </row>
    <row r="24" spans="1:10">
      <c r="A24" t="s">
        <v>562</v>
      </c>
      <c r="B24">
        <f>FLOOR(B6*0.4*4/18,1)</f>
        <v>2222</v>
      </c>
      <c r="D24" s="96" t="e">
        <f t="shared" si="0"/>
        <v>#REF!</v>
      </c>
      <c r="E24" s="97" t="e">
        <f t="shared" ref="E24" si="5">IF(D24&gt;C24,FLOOR(D24,1),C24)</f>
        <v>#REF!</v>
      </c>
      <c r="F24" s="96" t="e">
        <f t="shared" si="2"/>
        <v>#REF!</v>
      </c>
      <c r="G24" s="97" t="e">
        <f t="shared" si="3"/>
        <v>#REF!</v>
      </c>
      <c r="H24" t="s">
        <v>563</v>
      </c>
    </row>
    <row r="25" spans="1:10">
      <c r="A25" t="s">
        <v>543</v>
      </c>
      <c r="B25">
        <v>681</v>
      </c>
      <c r="D25" s="96" t="e">
        <f t="shared" si="0"/>
        <v>#REF!</v>
      </c>
      <c r="E25" s="97" t="e">
        <f t="shared" si="1"/>
        <v>#REF!</v>
      </c>
      <c r="F25" s="96" t="e">
        <f t="shared" si="2"/>
        <v>#REF!</v>
      </c>
      <c r="G25" s="97" t="e">
        <f t="shared" si="3"/>
        <v>#REF!</v>
      </c>
      <c r="H25" t="s">
        <v>570</v>
      </c>
    </row>
    <row r="26" spans="1:10">
      <c r="A26" t="s">
        <v>629</v>
      </c>
      <c r="B26" s="81">
        <f>1999474/144898471*1000</f>
        <v>13.799138018509526</v>
      </c>
      <c r="C26">
        <v>0</v>
      </c>
      <c r="D26" s="96" t="e">
        <f t="shared" si="0"/>
        <v>#REF!</v>
      </c>
      <c r="E26" s="97" t="e">
        <f t="shared" ref="E26" si="6">IF(D26&gt;C26,FLOOR(D26,1),C26)</f>
        <v>#REF!</v>
      </c>
      <c r="F26" s="96" t="e">
        <f t="shared" si="2"/>
        <v>#REF!</v>
      </c>
      <c r="G26" s="97" t="e">
        <f t="shared" si="3"/>
        <v>#REF!</v>
      </c>
      <c r="H26" t="s">
        <v>630</v>
      </c>
    </row>
    <row r="27" spans="1:10">
      <c r="B27" s="40"/>
    </row>
    <row r="28" spans="1:10">
      <c r="A28" t="s">
        <v>557</v>
      </c>
      <c r="B28">
        <v>300</v>
      </c>
      <c r="D28" s="96" t="e">
        <f>FLOOR(B28/100000*$D$1,0.1)</f>
        <v>#REF!</v>
      </c>
      <c r="E28" s="97" t="e">
        <f t="shared" si="1"/>
        <v>#REF!</v>
      </c>
      <c r="F28" s="96" t="e">
        <f>FLOOR(D28/100000*$D$1,0.1)</f>
        <v>#REF!</v>
      </c>
      <c r="G28" s="97" t="e">
        <f t="shared" ref="G28" si="7">IF(F28&gt;E28,FLOOR(F28,1),E28)</f>
        <v>#REF!</v>
      </c>
      <c r="H28" t="s">
        <v>570</v>
      </c>
    </row>
    <row r="30" spans="1:10">
      <c r="B30" t="s">
        <v>569</v>
      </c>
      <c r="D30" s="96" t="e">
        <f>SUM(D31:D35)</f>
        <v>#REF!</v>
      </c>
      <c r="F30" s="96" t="e">
        <f>SUM(F31:F35)</f>
        <v>#REF!</v>
      </c>
    </row>
    <row r="31" spans="1:10">
      <c r="A31" t="s">
        <v>612</v>
      </c>
      <c r="D31" s="96" t="e">
        <f>#REF!</f>
        <v>#REF!</v>
      </c>
      <c r="E31" s="97" t="e">
        <f>D31</f>
        <v>#REF!</v>
      </c>
      <c r="F31" s="96" t="e">
        <f>#REF!</f>
        <v>#REF!</v>
      </c>
      <c r="G31" s="97" t="e">
        <f>F31</f>
        <v>#REF!</v>
      </c>
    </row>
    <row r="32" spans="1:10">
      <c r="A32" t="s">
        <v>577</v>
      </c>
      <c r="D32" s="96" t="e">
        <f>CEILING((D31+D33)*0.05,1)</f>
        <v>#REF!</v>
      </c>
      <c r="E32" s="97" t="e">
        <f t="shared" ref="E32:E35" si="8">D32</f>
        <v>#REF!</v>
      </c>
      <c r="F32" s="96" t="e">
        <f>CEILING((F31+F33)*0.05,1)</f>
        <v>#REF!</v>
      </c>
      <c r="G32" s="97" t="e">
        <f t="shared" ref="G32:G35" si="9">F32</f>
        <v>#REF!</v>
      </c>
    </row>
    <row r="33" spans="1:8">
      <c r="A33" t="s">
        <v>567</v>
      </c>
      <c r="D33" s="96" t="e">
        <f>#REF!</f>
        <v>#REF!</v>
      </c>
      <c r="E33" s="97" t="e">
        <f t="shared" si="8"/>
        <v>#REF!</v>
      </c>
      <c r="F33" s="96" t="e">
        <f>CEILING(#REF!*0.75,1)</f>
        <v>#REF!</v>
      </c>
      <c r="G33" s="97" t="e">
        <f t="shared" si="9"/>
        <v>#REF!</v>
      </c>
      <c r="H33" t="s">
        <v>568</v>
      </c>
    </row>
    <row r="34" spans="1:8" ht="18" customHeight="1">
      <c r="A34" t="s">
        <v>552</v>
      </c>
      <c r="D34" s="96" t="e">
        <f>CEILING(SUM(D31:D33)*0.05,1)</f>
        <v>#REF!</v>
      </c>
      <c r="E34" s="97" t="e">
        <f t="shared" si="8"/>
        <v>#REF!</v>
      </c>
      <c r="F34" s="96" t="e">
        <f>CEILING(SUM(F31:F33)*0.001,1)</f>
        <v>#REF!</v>
      </c>
      <c r="G34" s="97" t="e">
        <f t="shared" si="9"/>
        <v>#REF!</v>
      </c>
    </row>
    <row r="35" spans="1:8" ht="18" customHeight="1">
      <c r="A35" t="s">
        <v>564</v>
      </c>
      <c r="D35" s="96" t="e">
        <f>CEILING(SUM(D31:D34)*0.05,1)</f>
        <v>#REF!</v>
      </c>
      <c r="E35" s="97" t="e">
        <f t="shared" si="8"/>
        <v>#REF!</v>
      </c>
      <c r="F35" s="96" t="e">
        <f>CEILING(SUM(F31:F34)*0.001,1)</f>
        <v>#REF!</v>
      </c>
      <c r="G35" s="97" t="e">
        <f t="shared" si="9"/>
        <v>#REF!</v>
      </c>
    </row>
    <row r="37" spans="1:8">
      <c r="B37" t="s">
        <v>569</v>
      </c>
      <c r="D37" s="96">
        <f>SUM(D39:D44)</f>
        <v>85</v>
      </c>
      <c r="F37" s="96" t="e">
        <f>SUM(F39:F44)</f>
        <v>#REF!</v>
      </c>
    </row>
    <row r="38" spans="1:8">
      <c r="A38" t="s">
        <v>558</v>
      </c>
      <c r="B38">
        <f>SUM(B39:B44)</f>
        <v>1.375</v>
      </c>
      <c r="C38">
        <f>SUM(C39:C43)</f>
        <v>43</v>
      </c>
      <c r="D38" s="96">
        <f>C38*2</f>
        <v>86</v>
      </c>
      <c r="E38" s="97">
        <f>SUM(E39:E44)</f>
        <v>87</v>
      </c>
      <c r="F38" s="96" t="e">
        <f>CEILING(F9-F10-F11,1)</f>
        <v>#REF!</v>
      </c>
      <c r="G38" s="97" t="e">
        <f>SUM(G39:G44)</f>
        <v>#REF!</v>
      </c>
    </row>
    <row r="39" spans="1:8" ht="17">
      <c r="A39" t="s">
        <v>574</v>
      </c>
      <c r="B39" s="70">
        <v>0.05</v>
      </c>
      <c r="C39" s="70">
        <v>3</v>
      </c>
      <c r="D39" s="96">
        <f>$C39+FLOOR($B39*($D38-$C38)/$B$38,0.5)</f>
        <v>4.5</v>
      </c>
      <c r="E39" s="97">
        <f>CEILING(D39,1)</f>
        <v>5</v>
      </c>
      <c r="F39" s="96" t="e">
        <f>$C39+FLOOR($B39*($F$38-$C$38)/$B$38,0.5)</f>
        <v>#REF!</v>
      </c>
      <c r="G39" s="97" t="e">
        <f>CEILING(F39,1)</f>
        <v>#REF!</v>
      </c>
    </row>
    <row r="40" spans="1:8">
      <c r="A40" t="s">
        <v>566</v>
      </c>
      <c r="B40">
        <v>0.85</v>
      </c>
      <c r="C40">
        <v>30</v>
      </c>
      <c r="D40" s="96">
        <f>C40+FLOOR(B40*($D$38-$C$38)/$B$38,0.5)</f>
        <v>56.5</v>
      </c>
      <c r="E40" s="97">
        <f t="shared" ref="E40:E44" si="10">CEILING(D40,1)</f>
        <v>57</v>
      </c>
      <c r="F40" s="96" t="e">
        <f t="shared" ref="F40:F44" si="11">$C40+FLOOR($B40*($F$38-$C$38)/$B$38,0.5)</f>
        <v>#REF!</v>
      </c>
      <c r="G40" s="97" t="e">
        <f t="shared" ref="G40:G44" si="12">CEILING(F40,1)</f>
        <v>#REF!</v>
      </c>
    </row>
    <row r="41" spans="1:8">
      <c r="A41" t="s">
        <v>575</v>
      </c>
      <c r="B41">
        <v>0.1</v>
      </c>
      <c r="C41">
        <v>3</v>
      </c>
      <c r="D41" s="96">
        <f>C41+FLOOR(B41*($D$38-$C$38)/$B$38,0.5)</f>
        <v>6</v>
      </c>
      <c r="E41" s="97">
        <f t="shared" si="10"/>
        <v>6</v>
      </c>
      <c r="F41" s="96" t="e">
        <f t="shared" si="11"/>
        <v>#REF!</v>
      </c>
      <c r="G41" s="97" t="e">
        <f t="shared" si="12"/>
        <v>#REF!</v>
      </c>
    </row>
    <row r="42" spans="1:8">
      <c r="A42" t="s">
        <v>565</v>
      </c>
      <c r="B42">
        <v>0.2</v>
      </c>
      <c r="C42">
        <v>6</v>
      </c>
      <c r="D42" s="96">
        <f>C42+FLOOR(B42*($D$38-$C$38)/$B$38,0.5)</f>
        <v>12</v>
      </c>
      <c r="E42" s="97">
        <f t="shared" si="10"/>
        <v>12</v>
      </c>
      <c r="F42" s="96" t="e">
        <f t="shared" si="11"/>
        <v>#REF!</v>
      </c>
      <c r="G42" s="97" t="e">
        <f t="shared" si="12"/>
        <v>#REF!</v>
      </c>
    </row>
    <row r="43" spans="1:8">
      <c r="A43" t="s">
        <v>573</v>
      </c>
      <c r="B43">
        <v>0.05</v>
      </c>
      <c r="C43">
        <v>1</v>
      </c>
      <c r="D43" s="96">
        <f>C43+FLOOR(B43*($D$38-$C$38)/$B$38,0.5)</f>
        <v>2.5</v>
      </c>
      <c r="E43" s="97">
        <f t="shared" si="10"/>
        <v>3</v>
      </c>
      <c r="F43" s="96" t="e">
        <f t="shared" si="11"/>
        <v>#REF!</v>
      </c>
      <c r="G43" s="97" t="e">
        <f t="shared" si="12"/>
        <v>#REF!</v>
      </c>
    </row>
    <row r="44" spans="1:8">
      <c r="A44" t="s">
        <v>564</v>
      </c>
      <c r="B44">
        <f>SUM(B39:B43)*0.1</f>
        <v>0.125</v>
      </c>
      <c r="D44" s="96">
        <f>C44+FLOOR(B44*($D$38-$C$38)/$B$38,0.5)</f>
        <v>3.5</v>
      </c>
      <c r="E44" s="97">
        <f t="shared" si="10"/>
        <v>4</v>
      </c>
      <c r="F44" s="96" t="e">
        <f t="shared" si="11"/>
        <v>#REF!</v>
      </c>
      <c r="G44" s="97" t="e">
        <f t="shared" si="12"/>
        <v>#REF!</v>
      </c>
    </row>
  </sheetData>
  <sortState ref="A29:D41">
    <sortCondition ref="A32:A41"/>
    <sortCondition ref="B32:B41"/>
  </sortState>
  <mergeCells count="2">
    <mergeCell ref="D2:E2"/>
    <mergeCell ref="F2:G2"/>
  </mergeCells>
  <pageMargins left="0.7" right="0.7" top="0.75" bottom="0.75" header="0.3" footer="0.3"/>
  <pageSetup scale="71" orientation="portrait" horizontalDpi="0" verticalDpi="0" copies="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B479-7E9A-E744-AB82-0BC477E4AC67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A1AE5-3090-F34A-BB87-7CAFAB9DCFD1}">
  <dimension ref="A1:AF73"/>
  <sheetViews>
    <sheetView topLeftCell="A29" workbookViewId="0">
      <selection activeCell="C47" sqref="C47"/>
    </sheetView>
  </sheetViews>
  <sheetFormatPr baseColWidth="10" defaultRowHeight="16"/>
  <cols>
    <col min="1" max="1" width="22.83203125" bestFit="1" customWidth="1"/>
    <col min="3" max="3" width="13.6640625" bestFit="1" customWidth="1"/>
    <col min="4" max="4" width="12.6640625" bestFit="1" customWidth="1"/>
    <col min="5" max="5" width="12.1640625" bestFit="1" customWidth="1"/>
    <col min="6" max="6" width="11.6640625" bestFit="1" customWidth="1"/>
    <col min="7" max="7" width="12.1640625" bestFit="1" customWidth="1"/>
    <col min="12" max="16" width="7" customWidth="1"/>
    <col min="17" max="17" width="7.5" customWidth="1"/>
    <col min="18" max="19" width="7" customWidth="1"/>
    <col min="20" max="20" width="9.6640625" customWidth="1"/>
    <col min="24" max="24" width="12.1640625" bestFit="1" customWidth="1"/>
  </cols>
  <sheetData>
    <row r="1" spans="1:29">
      <c r="A1" t="s">
        <v>57</v>
      </c>
      <c r="D1" s="2">
        <f>Habitat!I23*0.000001</f>
        <v>5808.2550377731486</v>
      </c>
      <c r="E1" t="s">
        <v>45</v>
      </c>
    </row>
    <row r="2" spans="1:29">
      <c r="A2" t="s">
        <v>609</v>
      </c>
      <c r="D2">
        <f>Vehicle!B1</f>
        <v>1000000</v>
      </c>
      <c r="E2" s="5"/>
      <c r="F2" s="5"/>
      <c r="G2" s="5"/>
      <c r="H2" s="5"/>
      <c r="I2" s="5"/>
      <c r="J2" s="5"/>
      <c r="U2" s="5"/>
      <c r="V2" s="5"/>
      <c r="W2" s="5"/>
      <c r="X2" s="5"/>
      <c r="Y2" s="5"/>
      <c r="Z2" s="5"/>
      <c r="AA2" s="5"/>
      <c r="AB2" s="5"/>
      <c r="AC2" s="5"/>
    </row>
    <row r="4" spans="1:29">
      <c r="A4" t="s">
        <v>224</v>
      </c>
    </row>
    <row r="5" spans="1:29">
      <c r="A5" t="s">
        <v>226</v>
      </c>
      <c r="D5">
        <f>180*Conversion!G17</f>
        <v>69.498388800000001</v>
      </c>
      <c r="E5" t="s">
        <v>227</v>
      </c>
    </row>
    <row r="6" spans="1:29">
      <c r="A6" t="s">
        <v>225</v>
      </c>
      <c r="D6">
        <f>D2/D5</f>
        <v>14388.822780881505</v>
      </c>
      <c r="E6" t="s">
        <v>45</v>
      </c>
      <c r="F6" t="s">
        <v>56</v>
      </c>
    </row>
    <row r="7" spans="1:29">
      <c r="A7" t="s">
        <v>55</v>
      </c>
      <c r="D7">
        <f>C45*0.000001</f>
        <v>1256.4084586543488</v>
      </c>
      <c r="E7" t="s">
        <v>45</v>
      </c>
    </row>
    <row r="8" spans="1:29">
      <c r="D8">
        <f>D7*Conversion!D17</f>
        <v>125640.84586543488</v>
      </c>
      <c r="E8" t="s">
        <v>111</v>
      </c>
    </row>
    <row r="10" spans="1:29">
      <c r="A10" t="s">
        <v>185</v>
      </c>
      <c r="D10" t="s">
        <v>503</v>
      </c>
      <c r="E10" t="s">
        <v>374</v>
      </c>
      <c r="F10" t="s">
        <v>373</v>
      </c>
    </row>
    <row r="11" spans="1:29">
      <c r="C11" t="s">
        <v>194</v>
      </c>
      <c r="D11">
        <f>IF(SUM(D12:D15)&gt;G27,0,G27-SUM(D12:D15))</f>
        <v>5.2447664141414165</v>
      </c>
      <c r="E11" s="48">
        <f>Protein!B10</f>
        <v>639739529.84687471</v>
      </c>
    </row>
    <row r="12" spans="1:29">
      <c r="C12" t="s">
        <v>193</v>
      </c>
      <c r="D12">
        <f>H12/2.2</f>
        <v>18.18181818181818</v>
      </c>
      <c r="E12" s="48">
        <f>Cattle!D8</f>
        <v>2290075443.4320002</v>
      </c>
      <c r="F12">
        <f>Cattle!C18</f>
        <v>512779</v>
      </c>
      <c r="H12" s="5">
        <v>40</v>
      </c>
      <c r="I12" s="54">
        <v>67.8</v>
      </c>
      <c r="J12" s="54" t="s">
        <v>245</v>
      </c>
      <c r="K12" s="54" t="s">
        <v>247</v>
      </c>
      <c r="L12" s="54"/>
    </row>
    <row r="13" spans="1:29">
      <c r="C13" t="s">
        <v>210</v>
      </c>
      <c r="D13">
        <f>H13/2.2</f>
        <v>13.636363636363635</v>
      </c>
      <c r="E13" s="48">
        <f>Protein!B27</f>
        <v>97107438.016528919</v>
      </c>
      <c r="F13">
        <f>SUM(Protein!B19:D19)</f>
        <v>5423553.7190082641</v>
      </c>
      <c r="H13" s="5">
        <v>30</v>
      </c>
      <c r="I13" s="54">
        <v>61.5</v>
      </c>
      <c r="J13" s="54" t="s">
        <v>245</v>
      </c>
      <c r="K13" s="54" t="s">
        <v>246</v>
      </c>
      <c r="L13" s="54"/>
    </row>
    <row r="14" spans="1:29">
      <c r="C14" t="s">
        <v>266</v>
      </c>
      <c r="D14">
        <f>H14/2.2</f>
        <v>4.545454545454545</v>
      </c>
      <c r="E14" s="48">
        <f>Protein!B44</f>
        <v>19677292.404565126</v>
      </c>
      <c r="F14">
        <f>Protein!B35</f>
        <v>57720.05772005771</v>
      </c>
      <c r="H14" s="5">
        <v>10</v>
      </c>
      <c r="I14" s="54">
        <v>49.8</v>
      </c>
      <c r="J14" s="54" t="s">
        <v>245</v>
      </c>
      <c r="K14" s="54" t="s">
        <v>261</v>
      </c>
      <c r="L14" s="54"/>
    </row>
    <row r="15" spans="1:29">
      <c r="C15" t="s">
        <v>500</v>
      </c>
      <c r="D15">
        <v>18</v>
      </c>
      <c r="E15" s="48">
        <f>Protein!B60</f>
        <v>100622517.9778899</v>
      </c>
    </row>
    <row r="16" spans="1:29">
      <c r="C16" t="s">
        <v>11</v>
      </c>
      <c r="E16" s="2">
        <f>SUM(E12:E14)</f>
        <v>2406860173.8530946</v>
      </c>
    </row>
    <row r="17" spans="1:32">
      <c r="C17" t="s">
        <v>440</v>
      </c>
      <c r="E17" s="2">
        <f>SUM(Crops!G4:G119)</f>
        <v>2406860173.8530946</v>
      </c>
    </row>
    <row r="19" spans="1:32">
      <c r="B19" t="s">
        <v>195</v>
      </c>
      <c r="D19">
        <v>80</v>
      </c>
      <c r="E19" s="5" t="s">
        <v>112</v>
      </c>
      <c r="F19" s="5"/>
      <c r="G19" s="5"/>
      <c r="H19" s="5"/>
      <c r="I19" s="5"/>
      <c r="J19" s="5"/>
      <c r="U19" s="5"/>
      <c r="V19" s="5"/>
      <c r="W19" s="5"/>
      <c r="X19" s="5"/>
      <c r="Y19" s="5"/>
      <c r="Z19" s="5"/>
      <c r="AA19" s="5"/>
      <c r="AB19" s="5"/>
      <c r="AC19" s="5"/>
    </row>
    <row r="20" spans="1:32">
      <c r="B20" t="s">
        <v>196</v>
      </c>
      <c r="D20">
        <v>1.25E-3</v>
      </c>
      <c r="E20" s="5" t="s">
        <v>198</v>
      </c>
      <c r="F20" s="5" t="s">
        <v>197</v>
      </c>
      <c r="G20" s="5"/>
      <c r="H20" s="5"/>
      <c r="I20" s="5"/>
      <c r="J20" s="5"/>
      <c r="U20" s="5"/>
      <c r="V20" s="5"/>
      <c r="W20" s="5"/>
      <c r="X20" s="5"/>
      <c r="Y20" s="5"/>
      <c r="Z20" s="5"/>
      <c r="AA20" s="5"/>
      <c r="AB20" s="5"/>
      <c r="AC20" s="5"/>
    </row>
    <row r="21" spans="1:32">
      <c r="B21" t="s">
        <v>208</v>
      </c>
      <c r="D21" s="4">
        <f>SUM(AB:AB)+(D19*D20*3020)</f>
        <v>302</v>
      </c>
      <c r="E21" s="5" t="s">
        <v>209</v>
      </c>
      <c r="F21" s="5"/>
      <c r="G21" s="5"/>
      <c r="H21" s="5"/>
      <c r="I21" s="5"/>
      <c r="J21" s="5"/>
      <c r="U21" s="5"/>
      <c r="V21" s="5"/>
      <c r="W21" s="5"/>
      <c r="X21" s="5"/>
      <c r="Y21" s="5"/>
      <c r="Z21" s="5"/>
      <c r="AA21" s="5"/>
      <c r="AB21" s="5"/>
      <c r="AC21" s="5"/>
    </row>
    <row r="22" spans="1:32">
      <c r="D22" s="4"/>
      <c r="E22" s="5"/>
      <c r="F22" s="5"/>
      <c r="G22" s="5"/>
      <c r="H22" s="5"/>
      <c r="I22" s="5"/>
      <c r="J22" s="5"/>
      <c r="U22" s="5"/>
      <c r="V22" s="5"/>
      <c r="W22" s="5"/>
      <c r="X22" s="5"/>
      <c r="Y22" s="5"/>
      <c r="Z22" s="5"/>
      <c r="AA22" s="5"/>
      <c r="AB22" s="5"/>
      <c r="AC22" s="5"/>
    </row>
    <row r="23" spans="1:32">
      <c r="A23" t="s">
        <v>445</v>
      </c>
      <c r="B23" t="s">
        <v>489</v>
      </c>
      <c r="D23" t="s">
        <v>442</v>
      </c>
      <c r="E23" s="5" t="s">
        <v>443</v>
      </c>
      <c r="F23" s="5" t="s">
        <v>494</v>
      </c>
      <c r="G23" s="5" t="s">
        <v>428</v>
      </c>
      <c r="H23" s="5"/>
      <c r="I23" s="5"/>
      <c r="J23" s="5"/>
      <c r="U23" s="5"/>
      <c r="V23" s="5"/>
      <c r="W23" s="5"/>
      <c r="X23" s="5"/>
      <c r="Y23" s="5"/>
      <c r="Z23" s="5"/>
      <c r="AA23" s="5"/>
      <c r="AB23" s="5"/>
      <c r="AC23" s="5"/>
    </row>
    <row r="24" spans="1:32">
      <c r="B24" t="s">
        <v>446</v>
      </c>
      <c r="D24">
        <v>1</v>
      </c>
      <c r="E24" s="5">
        <f>Diet!G5</f>
        <v>54.307692307692307</v>
      </c>
      <c r="F24">
        <v>387</v>
      </c>
      <c r="G24" s="5">
        <f t="shared" ref="G24:G34" si="0">E24/F24*0.1*365.26</f>
        <v>5.1256919101570269</v>
      </c>
      <c r="H24" s="5"/>
      <c r="I24" s="5"/>
      <c r="J24" s="5"/>
      <c r="U24" s="5"/>
      <c r="V24" s="5"/>
      <c r="W24" s="5"/>
      <c r="X24" s="5"/>
      <c r="Y24" s="5"/>
      <c r="Z24" s="5"/>
      <c r="AA24" s="5"/>
      <c r="AB24" s="5"/>
      <c r="AC24" s="5"/>
    </row>
    <row r="25" spans="1:32">
      <c r="B25" t="s">
        <v>447</v>
      </c>
      <c r="D25">
        <v>2</v>
      </c>
      <c r="E25" s="5">
        <f>Diet!H5</f>
        <v>377.57142857142856</v>
      </c>
      <c r="F25">
        <v>387</v>
      </c>
      <c r="G25" s="5">
        <f t="shared" si="0"/>
        <v>35.636108527131782</v>
      </c>
      <c r="H25" s="5"/>
      <c r="I25" s="5" t="s">
        <v>495</v>
      </c>
      <c r="J25" s="5"/>
      <c r="U25" s="5"/>
      <c r="V25" s="5"/>
      <c r="W25" s="5"/>
      <c r="X25" s="5"/>
      <c r="Y25" s="5"/>
      <c r="Z25" s="5"/>
      <c r="AA25" s="5"/>
      <c r="AB25" s="5"/>
      <c r="AC25" s="5"/>
    </row>
    <row r="26" spans="1:32">
      <c r="B26" t="s">
        <v>490</v>
      </c>
      <c r="D26">
        <v>3</v>
      </c>
      <c r="E26" s="5">
        <f>Diet!I5</f>
        <v>666.75</v>
      </c>
      <c r="F26">
        <v>884</v>
      </c>
      <c r="G26" s="5">
        <f t="shared" si="0"/>
        <v>27.549446266968328</v>
      </c>
      <c r="H26" s="5"/>
      <c r="I26" s="5"/>
      <c r="J26" s="5"/>
      <c r="U26" s="5"/>
      <c r="V26" s="5"/>
      <c r="W26" s="5"/>
      <c r="X26" s="5"/>
      <c r="Y26" s="5"/>
      <c r="Z26" s="5"/>
      <c r="AA26" s="5"/>
      <c r="AB26" s="5"/>
      <c r="AC26" s="5"/>
    </row>
    <row r="27" spans="1:32">
      <c r="B27" t="s">
        <v>482</v>
      </c>
      <c r="D27">
        <v>4</v>
      </c>
      <c r="E27" s="5">
        <f>Diet!J5</f>
        <v>470</v>
      </c>
      <c r="F27">
        <v>288</v>
      </c>
      <c r="G27" s="5">
        <f t="shared" si="0"/>
        <v>59.608402777777776</v>
      </c>
      <c r="H27" s="5"/>
      <c r="I27" s="5"/>
      <c r="J27" s="5"/>
      <c r="U27" s="5"/>
      <c r="V27" s="5"/>
      <c r="W27" s="5"/>
      <c r="X27" s="5"/>
      <c r="Y27" s="5"/>
      <c r="Z27" s="5"/>
      <c r="AA27" s="5"/>
      <c r="AB27" s="5"/>
      <c r="AC27" s="5"/>
    </row>
    <row r="28" spans="1:32">
      <c r="B28" t="s">
        <v>483</v>
      </c>
      <c r="D28">
        <v>5</v>
      </c>
      <c r="E28">
        <f>Diet!K5</f>
        <v>358.66666666666669</v>
      </c>
      <c r="F28">
        <v>60</v>
      </c>
      <c r="G28" s="5">
        <f t="shared" si="0"/>
        <v>218.34431111111113</v>
      </c>
      <c r="H28" s="5"/>
      <c r="I28" s="5"/>
      <c r="J28" s="5"/>
      <c r="K28" s="5"/>
      <c r="L28" s="5"/>
      <c r="M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>
      <c r="B29" t="s">
        <v>484</v>
      </c>
      <c r="D29">
        <v>6</v>
      </c>
      <c r="E29">
        <f>Diet!L5</f>
        <v>219.8</v>
      </c>
      <c r="F29">
        <v>57</v>
      </c>
      <c r="G29" s="5">
        <f t="shared" si="0"/>
        <v>140.84938245614035</v>
      </c>
      <c r="H29" s="5"/>
      <c r="I29" s="5"/>
      <c r="J29" s="5"/>
      <c r="K29" s="5"/>
      <c r="L29" s="5"/>
      <c r="M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>
      <c r="B30" t="s">
        <v>491</v>
      </c>
      <c r="D30">
        <v>7</v>
      </c>
      <c r="E30">
        <f>Diet!M5</f>
        <v>107.84615384615384</v>
      </c>
      <c r="F30">
        <v>86</v>
      </c>
      <c r="G30" s="5">
        <f t="shared" si="0"/>
        <v>45.804518783542036</v>
      </c>
      <c r="H30" s="5"/>
      <c r="I30" s="5" t="s">
        <v>497</v>
      </c>
      <c r="J30" s="5"/>
      <c r="K30" s="5"/>
      <c r="L30" s="5"/>
      <c r="M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>
      <c r="B31" t="s">
        <v>486</v>
      </c>
      <c r="D31">
        <v>8</v>
      </c>
      <c r="E31">
        <f>Diet!N5</f>
        <v>43</v>
      </c>
      <c r="F31">
        <v>81</v>
      </c>
      <c r="G31" s="5">
        <f t="shared" si="0"/>
        <v>19.390345679012345</v>
      </c>
      <c r="H31" s="5"/>
      <c r="I31" t="s">
        <v>498</v>
      </c>
      <c r="J31" s="5" t="s">
        <v>493</v>
      </c>
      <c r="K31" s="5"/>
      <c r="L31" s="5"/>
      <c r="M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>
      <c r="B32" t="s">
        <v>487</v>
      </c>
      <c r="D32">
        <v>9</v>
      </c>
      <c r="E32">
        <f>Diet!O5</f>
        <v>1097.9230769230769</v>
      </c>
      <c r="F32">
        <v>129</v>
      </c>
      <c r="G32" s="5">
        <f t="shared" si="0"/>
        <v>310.87394036970784</v>
      </c>
      <c r="I32" t="s">
        <v>496</v>
      </c>
      <c r="K32" s="5"/>
      <c r="L32" s="5"/>
      <c r="M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>
      <c r="B33" t="s">
        <v>492</v>
      </c>
      <c r="D33">
        <v>10</v>
      </c>
      <c r="E33">
        <f>Diet!P5</f>
        <v>157</v>
      </c>
      <c r="F33">
        <v>85</v>
      </c>
      <c r="G33" s="5">
        <f t="shared" si="0"/>
        <v>67.465670588235298</v>
      </c>
      <c r="H33" s="5"/>
      <c r="I33" s="5" t="s">
        <v>499</v>
      </c>
      <c r="J33" s="5"/>
      <c r="K33" s="5"/>
      <c r="L33" s="5"/>
      <c r="M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B34" t="s">
        <v>504</v>
      </c>
      <c r="D34">
        <v>11</v>
      </c>
      <c r="E34" s="5">
        <f>E27/2</f>
        <v>235</v>
      </c>
      <c r="F34" s="5">
        <f>F26</f>
        <v>884</v>
      </c>
      <c r="G34" s="5">
        <f t="shared" si="0"/>
        <v>9.7099660633484177</v>
      </c>
      <c r="H34" s="5"/>
      <c r="I34" s="5"/>
      <c r="J34" s="5"/>
      <c r="U34" s="5"/>
      <c r="V34" s="5"/>
      <c r="W34" s="5"/>
      <c r="X34" s="5"/>
      <c r="Y34" s="5"/>
      <c r="Z34" s="5"/>
      <c r="AA34" s="5"/>
      <c r="AB34" s="5"/>
      <c r="AC34" s="5"/>
    </row>
    <row r="35" spans="1:32">
      <c r="E35" s="5"/>
      <c r="F35" s="5"/>
      <c r="G35" s="5"/>
      <c r="H35" s="5"/>
      <c r="I35" s="5"/>
      <c r="J35" s="5"/>
      <c r="U35" s="5"/>
      <c r="V35" s="5"/>
      <c r="W35" s="5"/>
      <c r="X35" s="5"/>
      <c r="Y35" s="5"/>
      <c r="Z35" s="5"/>
      <c r="AA35" s="5"/>
      <c r="AB35" s="5"/>
      <c r="AC35" s="5"/>
    </row>
    <row r="36" spans="1:32">
      <c r="A36" t="s">
        <v>255</v>
      </c>
      <c r="D36" t="s">
        <v>257</v>
      </c>
      <c r="E36" s="5" t="s">
        <v>11</v>
      </c>
      <c r="F36" s="5"/>
      <c r="G36" s="5"/>
      <c r="H36" s="5"/>
      <c r="I36" s="5"/>
      <c r="J36" s="5"/>
      <c r="U36" s="5"/>
      <c r="V36" s="5"/>
      <c r="W36" s="5"/>
      <c r="X36" s="5"/>
      <c r="Y36" s="5"/>
      <c r="Z36" s="5"/>
      <c r="AA36" s="5"/>
      <c r="AB36" s="5"/>
      <c r="AC36" s="5"/>
    </row>
    <row r="37" spans="1:32">
      <c r="B37" t="s">
        <v>256</v>
      </c>
      <c r="D37">
        <f>G27</f>
        <v>59.608402777777776</v>
      </c>
      <c r="E37" s="5">
        <f>D37*$D$2</f>
        <v>59608402.777777776</v>
      </c>
      <c r="F37" s="5"/>
      <c r="G37" s="5"/>
      <c r="H37" s="5"/>
      <c r="I37" s="5"/>
      <c r="J37" s="5"/>
      <c r="U37" s="5"/>
      <c r="V37" s="5"/>
      <c r="W37" s="5"/>
      <c r="X37" s="5"/>
      <c r="Y37" s="5"/>
      <c r="Z37" s="5"/>
      <c r="AA37" s="5"/>
      <c r="AB37" s="5"/>
      <c r="AC37" s="5"/>
    </row>
    <row r="38" spans="1:32">
      <c r="B38" t="s">
        <v>258</v>
      </c>
      <c r="D38">
        <f>SUM(Crops!D6:D119)</f>
        <v>1259.7274162917024</v>
      </c>
      <c r="E38" s="47">
        <f>SUM(Crops!F6:F119)</f>
        <v>1031642734.2238147</v>
      </c>
      <c r="F38" s="5"/>
      <c r="G38" s="5"/>
      <c r="H38" s="5"/>
      <c r="I38" s="5"/>
      <c r="J38" s="5"/>
      <c r="U38" s="5"/>
      <c r="V38" s="5"/>
      <c r="W38" s="5"/>
      <c r="X38" s="5"/>
      <c r="Y38" s="5"/>
      <c r="Z38" s="5"/>
      <c r="AA38" s="5"/>
      <c r="AB38" s="5"/>
      <c r="AC38" s="5"/>
    </row>
    <row r="39" spans="1:32">
      <c r="A39" t="s">
        <v>259</v>
      </c>
      <c r="C39">
        <v>0.15</v>
      </c>
      <c r="E39" s="5">
        <f>(E37+E42)*C39</f>
        <v>8941260.416666666</v>
      </c>
      <c r="F39" s="5"/>
      <c r="G39" s="5"/>
      <c r="H39" s="5"/>
      <c r="I39" s="5"/>
      <c r="J39" s="5"/>
      <c r="U39" s="5"/>
      <c r="V39" s="5"/>
      <c r="W39" s="5"/>
      <c r="X39" s="5"/>
      <c r="Y39" s="5"/>
      <c r="Z39" s="5"/>
      <c r="AA39" s="5"/>
      <c r="AB39" s="5"/>
      <c r="AC39" s="5"/>
    </row>
    <row r="40" spans="1:32">
      <c r="A40" t="s">
        <v>632</v>
      </c>
      <c r="E40" s="5">
        <f>(E37+E38)*7</f>
        <v>7638757959.0111465</v>
      </c>
      <c r="F40" s="5"/>
      <c r="G40" s="5" t="s">
        <v>633</v>
      </c>
      <c r="H40" s="5"/>
      <c r="I40" s="5"/>
      <c r="J40" s="5"/>
      <c r="U40" s="5"/>
      <c r="V40" s="5"/>
      <c r="W40" s="5"/>
      <c r="X40" s="5"/>
      <c r="Y40" s="5"/>
      <c r="Z40" s="5"/>
      <c r="AA40" s="5"/>
      <c r="AB40" s="5"/>
      <c r="AC40" s="5"/>
    </row>
    <row r="41" spans="1:32">
      <c r="E41" s="5"/>
      <c r="F41" s="5"/>
      <c r="G41" s="5"/>
      <c r="H41" s="5"/>
      <c r="I41" s="5"/>
      <c r="J41" s="5"/>
      <c r="U41" s="5"/>
      <c r="V41" s="5"/>
      <c r="W41" s="5"/>
      <c r="X41" s="5"/>
      <c r="Y41" s="5"/>
      <c r="Z41" s="5"/>
      <c r="AA41" s="5"/>
      <c r="AB41" s="5"/>
      <c r="AC41" s="5"/>
    </row>
    <row r="43" spans="1:32">
      <c r="A43" t="s">
        <v>234</v>
      </c>
      <c r="C43" s="2">
        <f>SUM(Crops!Z4:Z119)</f>
        <v>780267510.85771286</v>
      </c>
    </row>
    <row r="44" spans="1:32">
      <c r="A44" t="s">
        <v>235</v>
      </c>
      <c r="C44" s="2">
        <f>SUM(Crops!AA4:AA119)</f>
        <v>476140947.79663599</v>
      </c>
      <c r="H44" t="s">
        <v>377</v>
      </c>
      <c r="I44" t="s">
        <v>338</v>
      </c>
    </row>
    <row r="45" spans="1:32">
      <c r="A45" t="s">
        <v>90</v>
      </c>
      <c r="C45" s="39">
        <f>C43+C44</f>
        <v>1256408458.6543489</v>
      </c>
      <c r="D45" s="61">
        <f>C45*Conversion!F19</f>
        <v>310471.09421807615</v>
      </c>
      <c r="H45" t="s">
        <v>378</v>
      </c>
      <c r="I45" t="s">
        <v>379</v>
      </c>
    </row>
    <row r="46" spans="1:32">
      <c r="A46" t="s">
        <v>826</v>
      </c>
      <c r="C46" s="9">
        <v>0.75</v>
      </c>
      <c r="D46" s="34" t="s">
        <v>827</v>
      </c>
      <c r="H46" t="s">
        <v>418</v>
      </c>
      <c r="I46" t="s">
        <v>96</v>
      </c>
    </row>
    <row r="47" spans="1:32">
      <c r="A47" t="s">
        <v>244</v>
      </c>
      <c r="C47" s="39">
        <f>SUM(Crops!AB4:AB119)*(1-C46)</f>
        <v>284341830.17218959</v>
      </c>
      <c r="D47" s="34"/>
      <c r="H47" t="s">
        <v>422</v>
      </c>
      <c r="I47" t="s">
        <v>423</v>
      </c>
    </row>
    <row r="48" spans="1:32">
      <c r="H48" t="s">
        <v>377</v>
      </c>
      <c r="I48" t="s">
        <v>378</v>
      </c>
      <c r="L48" t="s">
        <v>420</v>
      </c>
      <c r="P48" s="34"/>
    </row>
    <row r="49" spans="1:16">
      <c r="A49" t="s">
        <v>436</v>
      </c>
      <c r="C49">
        <f>SUM(Crops!L4:L119)</f>
        <v>93095</v>
      </c>
      <c r="P49" s="34"/>
    </row>
    <row r="50" spans="1:16">
      <c r="A50" t="s">
        <v>683</v>
      </c>
      <c r="C50" s="2">
        <f>SUM(Crops!AG:AG)</f>
        <v>391019727.73879981</v>
      </c>
      <c r="P50" s="34"/>
    </row>
    <row r="51" spans="1:16">
      <c r="A51" t="s">
        <v>600</v>
      </c>
      <c r="C51" t="s">
        <v>579</v>
      </c>
      <c r="G51" s="3"/>
    </row>
    <row r="53" spans="1:16">
      <c r="A53" t="s">
        <v>601</v>
      </c>
      <c r="B53" t="s">
        <v>602</v>
      </c>
      <c r="C53" t="s">
        <v>603</v>
      </c>
      <c r="D53" t="s">
        <v>432</v>
      </c>
      <c r="E53" t="s">
        <v>604</v>
      </c>
    </row>
    <row r="54" spans="1:16">
      <c r="A54" t="s">
        <v>580</v>
      </c>
      <c r="B54">
        <v>10.5</v>
      </c>
    </row>
    <row r="55" spans="1:16">
      <c r="A55" t="s">
        <v>581</v>
      </c>
      <c r="B55">
        <v>24.4</v>
      </c>
    </row>
    <row r="56" spans="1:16">
      <c r="A56" t="s">
        <v>583</v>
      </c>
      <c r="B56">
        <v>5.2</v>
      </c>
    </row>
    <row r="57" spans="1:16">
      <c r="A57" t="s">
        <v>582</v>
      </c>
      <c r="B57">
        <v>8</v>
      </c>
    </row>
    <row r="58" spans="1:16">
      <c r="A58" t="s">
        <v>584</v>
      </c>
      <c r="B58">
        <v>6</v>
      </c>
    </row>
    <row r="59" spans="1:16">
      <c r="A59" t="s">
        <v>585</v>
      </c>
      <c r="B59">
        <v>6.7</v>
      </c>
    </row>
    <row r="60" spans="1:16">
      <c r="A60" t="s">
        <v>586</v>
      </c>
      <c r="B60">
        <v>3.9</v>
      </c>
    </row>
    <row r="61" spans="1:16">
      <c r="A61" t="s">
        <v>587</v>
      </c>
      <c r="B61">
        <v>4.7</v>
      </c>
    </row>
    <row r="62" spans="1:16">
      <c r="A62" t="s">
        <v>588</v>
      </c>
      <c r="B62">
        <v>11</v>
      </c>
    </row>
    <row r="63" spans="1:16">
      <c r="A63" t="s">
        <v>589</v>
      </c>
      <c r="B63">
        <v>17.600000000000001</v>
      </c>
    </row>
    <row r="64" spans="1:16">
      <c r="A64" t="s">
        <v>590</v>
      </c>
      <c r="B64">
        <v>12.6</v>
      </c>
    </row>
    <row r="65" spans="1:2">
      <c r="A65" t="s">
        <v>591</v>
      </c>
      <c r="B65">
        <v>5</v>
      </c>
    </row>
    <row r="66" spans="1:2">
      <c r="A66" t="s">
        <v>592</v>
      </c>
      <c r="B66">
        <v>9.6</v>
      </c>
    </row>
    <row r="67" spans="1:2">
      <c r="A67" t="s">
        <v>593</v>
      </c>
      <c r="B67">
        <v>12.4</v>
      </c>
    </row>
    <row r="68" spans="1:2">
      <c r="A68" t="s">
        <v>594</v>
      </c>
      <c r="B68">
        <v>16.3</v>
      </c>
    </row>
    <row r="69" spans="1:2">
      <c r="A69" t="s">
        <v>595</v>
      </c>
      <c r="B69">
        <v>46.7</v>
      </c>
    </row>
    <row r="70" spans="1:2">
      <c r="A70" t="s">
        <v>596</v>
      </c>
      <c r="B70">
        <v>4.5999999999999996</v>
      </c>
    </row>
    <row r="71" spans="1:2">
      <c r="A71" t="s">
        <v>597</v>
      </c>
      <c r="B71">
        <v>8.3000000000000007</v>
      </c>
    </row>
    <row r="72" spans="1:2">
      <c r="A72" t="s">
        <v>598</v>
      </c>
      <c r="B72">
        <v>18.2</v>
      </c>
    </row>
    <row r="73" spans="1:2">
      <c r="A73" t="s">
        <v>599</v>
      </c>
      <c r="B73">
        <v>84</v>
      </c>
    </row>
  </sheetData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2C2C1-95D6-9246-A9EE-2B8B6389D5DA}">
  <dimension ref="A1:AG129"/>
  <sheetViews>
    <sheetView workbookViewId="0"/>
  </sheetViews>
  <sheetFormatPr baseColWidth="10" defaultRowHeight="16"/>
  <cols>
    <col min="32" max="32" width="12.1640625" bestFit="1" customWidth="1"/>
  </cols>
  <sheetData>
    <row r="1" spans="1:33">
      <c r="A1" t="s">
        <v>84</v>
      </c>
      <c r="B1" t="s">
        <v>442</v>
      </c>
      <c r="D1" t="s">
        <v>86</v>
      </c>
      <c r="E1" t="s">
        <v>435</v>
      </c>
      <c r="F1" t="s">
        <v>433</v>
      </c>
      <c r="G1" t="s">
        <v>434</v>
      </c>
      <c r="H1" t="s">
        <v>381</v>
      </c>
      <c r="I1" t="s">
        <v>87</v>
      </c>
      <c r="J1" t="s">
        <v>383</v>
      </c>
      <c r="K1" t="s">
        <v>87</v>
      </c>
      <c r="L1" t="s">
        <v>370</v>
      </c>
      <c r="M1" t="s">
        <v>421</v>
      </c>
      <c r="N1" t="s">
        <v>424</v>
      </c>
      <c r="O1" t="s">
        <v>326</v>
      </c>
      <c r="P1" t="s">
        <v>327</v>
      </c>
      <c r="Q1" t="s">
        <v>328</v>
      </c>
      <c r="R1" t="s">
        <v>329</v>
      </c>
      <c r="S1" t="s">
        <v>330</v>
      </c>
      <c r="T1" t="s">
        <v>431</v>
      </c>
      <c r="U1" t="s">
        <v>681</v>
      </c>
      <c r="V1" t="s">
        <v>12</v>
      </c>
      <c r="W1" t="s">
        <v>116</v>
      </c>
      <c r="X1" t="s">
        <v>432</v>
      </c>
      <c r="Y1" t="s">
        <v>699</v>
      </c>
      <c r="Z1" t="s">
        <v>437</v>
      </c>
      <c r="AA1" t="s">
        <v>438</v>
      </c>
      <c r="AB1" t="s">
        <v>243</v>
      </c>
      <c r="AC1" t="s">
        <v>439</v>
      </c>
      <c r="AD1" t="s">
        <v>22</v>
      </c>
      <c r="AE1" t="s">
        <v>610</v>
      </c>
      <c r="AF1" t="s">
        <v>611</v>
      </c>
      <c r="AG1" t="s">
        <v>682</v>
      </c>
    </row>
    <row r="2" spans="1:33">
      <c r="A2" t="s">
        <v>324</v>
      </c>
    </row>
    <row r="3" spans="1:33">
      <c r="A3" t="s">
        <v>444</v>
      </c>
    </row>
    <row r="4" spans="1:33">
      <c r="A4" t="s">
        <v>230</v>
      </c>
      <c r="B4">
        <v>0</v>
      </c>
      <c r="E4">
        <v>0.05</v>
      </c>
      <c r="F4" s="2">
        <f>IF(D4&gt;0,D4*Agriculture!$D$2+Agriculture!$E$16*E4,IF(E4&gt;0,0,Agriculture!$D$2*0.025))</f>
        <v>0</v>
      </c>
      <c r="G4" s="2">
        <f>L4*1/Agriculture!$C$49*Agriculture!$E$16</f>
        <v>646345178.00448322</v>
      </c>
      <c r="K4" s="48">
        <f>IF(I4&gt;0,I4,J4/2000*Conversion!$D$23)</f>
        <v>0</v>
      </c>
      <c r="L4">
        <v>25000</v>
      </c>
      <c r="X4">
        <f t="shared" ref="X4:X14" si="0">IF(N4&gt;0,1,IF(M4&gt;0,FLOOR(365.26/M4,0.1),1))</f>
        <v>1</v>
      </c>
      <c r="Y4" s="2">
        <v>1</v>
      </c>
      <c r="Z4" s="2">
        <f>IF(K4&gt;0,F4/K4/X4*Conversion!$E$18,0)*Y4</f>
        <v>0</v>
      </c>
      <c r="AA4" s="2">
        <f>IF(L4&gt;0,G4/L4/X4*Conversion!$E$18,0)*Y4</f>
        <v>258538071.20179328</v>
      </c>
      <c r="AB4" s="2">
        <f>(Z4+AA4)*IF(V4&gt;0,V4,1)</f>
        <v>258538071.20179328</v>
      </c>
      <c r="AC4" s="2">
        <f>(F4*T4)/365.26/Agriculture!$D$2</f>
        <v>0</v>
      </c>
      <c r="AD4" s="3">
        <f>SUM(Z4:AA4)*Conversion!$F$19</f>
        <v>63887.342774675133</v>
      </c>
      <c r="AE4">
        <f>16+12.4+4.6+6</f>
        <v>39</v>
      </c>
      <c r="AF4" s="3">
        <f t="shared" ref="AF4:AF12" si="1">X4*AD4*AE4</f>
        <v>2491606.3682123302</v>
      </c>
    </row>
    <row r="5" spans="1:33" ht="18">
      <c r="A5" t="s">
        <v>92</v>
      </c>
      <c r="B5">
        <v>0</v>
      </c>
      <c r="D5">
        <v>100</v>
      </c>
      <c r="F5" s="2">
        <f>IF(D5&gt;0,D5*Agriculture!$D$2+Agriculture!$E$16*E5,IF(E5&gt;0,0,Agriculture!$D$2*0.025))</f>
        <v>100000000</v>
      </c>
      <c r="G5" s="2">
        <f>L5*1/Agriculture!$C$49*Agriculture!$E$16</f>
        <v>0</v>
      </c>
      <c r="I5">
        <v>5000</v>
      </c>
      <c r="K5" s="48">
        <f>IF(I5&gt;0,I5,J5/2000*Conversion!$D$23)</f>
        <v>5000</v>
      </c>
      <c r="N5">
        <v>1</v>
      </c>
      <c r="T5" s="60">
        <f t="shared" ref="T5:T14" si="2">(O5*4+R5*4+P5*9+Q5*9)*10</f>
        <v>0</v>
      </c>
      <c r="U5" s="60">
        <v>14</v>
      </c>
      <c r="V5">
        <v>0.6</v>
      </c>
      <c r="X5">
        <f t="shared" si="0"/>
        <v>1</v>
      </c>
      <c r="Y5" s="2">
        <v>1</v>
      </c>
      <c r="Z5" s="2">
        <f>IF(K5&gt;0,F5/K5/X5*Conversion!$E$18,0)*Y5</f>
        <v>200000000</v>
      </c>
      <c r="AA5" s="2">
        <f>IF(L5&gt;0,G5/L5/X5*Conversion!$E$18,0)*Y5</f>
        <v>0</v>
      </c>
      <c r="AB5" s="2">
        <f t="shared" ref="AB5:AB14" si="3">(Z5+AA5)*IF(V5&gt;0,V5,1)</f>
        <v>120000000</v>
      </c>
      <c r="AC5" s="2">
        <f>(F5*T5)/365.26/Agriculture!$D$2</f>
        <v>0</v>
      </c>
      <c r="AD5" s="3">
        <f>SUM(Z5:AA5)*Conversion!$F$19</f>
        <v>49422</v>
      </c>
      <c r="AE5">
        <f t="shared" ref="AE5:AE14" si="4">16+12.4+4.6</f>
        <v>33</v>
      </c>
      <c r="AF5" s="3">
        <f t="shared" si="1"/>
        <v>1630926</v>
      </c>
      <c r="AG5">
        <f t="shared" ref="AG5:AG36" si="5">IF(U5&gt;2,SUM(Z5:AA5),0)</f>
        <v>200000000</v>
      </c>
    </row>
    <row r="6" spans="1:33" ht="18">
      <c r="A6" t="s">
        <v>106</v>
      </c>
      <c r="B6">
        <v>0</v>
      </c>
      <c r="D6">
        <v>6</v>
      </c>
      <c r="F6" s="2">
        <f>IF(D6&gt;0,D6*Agriculture!$D$2+Agriculture!$E$16*E6,IF(E6&gt;0,0,Agriculture!$D$2*0.025))</f>
        <v>6000000</v>
      </c>
      <c r="G6" s="2">
        <f>L6*1/Agriculture!$C$49*Agriculture!$E$16</f>
        <v>0</v>
      </c>
      <c r="I6">
        <v>1500</v>
      </c>
      <c r="K6" s="48">
        <f>IF(I6&gt;0,I6,J6/2000*Conversion!$D$23)</f>
        <v>1500</v>
      </c>
      <c r="N6">
        <v>1</v>
      </c>
      <c r="T6" s="60">
        <f t="shared" si="2"/>
        <v>0</v>
      </c>
      <c r="U6" s="60">
        <v>8</v>
      </c>
      <c r="V6">
        <v>0.9</v>
      </c>
      <c r="X6">
        <f t="shared" si="0"/>
        <v>1</v>
      </c>
      <c r="Y6" s="2">
        <v>1</v>
      </c>
      <c r="Z6" s="2">
        <f>IF(K6&gt;0,F6/K6/X6*Conversion!$E$18,0)*Y6</f>
        <v>40000000</v>
      </c>
      <c r="AA6" s="2">
        <f>IF(L6&gt;0,G6/L6/X6*Conversion!$E$18,0)*Y6</f>
        <v>0</v>
      </c>
      <c r="AB6" s="2">
        <f t="shared" si="3"/>
        <v>36000000</v>
      </c>
      <c r="AC6" s="2">
        <f>(F6*T6)/365.26/Agriculture!$D$2</f>
        <v>0</v>
      </c>
      <c r="AD6" s="3">
        <f>SUM(Z6:AA6)*Conversion!$F$19</f>
        <v>9884.4</v>
      </c>
      <c r="AE6">
        <f t="shared" si="4"/>
        <v>33</v>
      </c>
      <c r="AF6" s="3">
        <f t="shared" si="1"/>
        <v>326185.2</v>
      </c>
      <c r="AG6">
        <f t="shared" si="5"/>
        <v>40000000</v>
      </c>
    </row>
    <row r="7" spans="1:33" ht="18">
      <c r="A7" t="s">
        <v>107</v>
      </c>
      <c r="B7">
        <v>0</v>
      </c>
      <c r="D7">
        <v>12</v>
      </c>
      <c r="F7" s="2">
        <f>IF(D7&gt;0,D7*Agriculture!$D$2+Agriculture!$E$16*E7,IF(E7&gt;0,0,Agriculture!$D$2*0.025))</f>
        <v>12000000</v>
      </c>
      <c r="G7" s="2">
        <f>L7*1/Agriculture!$C$49*Agriculture!$E$16</f>
        <v>0</v>
      </c>
      <c r="I7">
        <v>1250</v>
      </c>
      <c r="K7" s="48">
        <f>IF(I7&gt;0,I7,J7/2000*Conversion!$D$23)</f>
        <v>1250</v>
      </c>
      <c r="N7" s="60">
        <v>1</v>
      </c>
      <c r="T7" s="60">
        <f t="shared" si="2"/>
        <v>0</v>
      </c>
      <c r="U7" s="60">
        <v>10</v>
      </c>
      <c r="V7">
        <v>0.9</v>
      </c>
      <c r="X7">
        <f t="shared" si="0"/>
        <v>1</v>
      </c>
      <c r="Y7" s="2">
        <v>1</v>
      </c>
      <c r="Z7" s="2">
        <f>IF(K7&gt;0,F7/K7/X7*Conversion!$E$18,0)*Y7</f>
        <v>96000000</v>
      </c>
      <c r="AA7" s="2">
        <f>IF(L7&gt;0,G7/L7/X7*Conversion!$E$18,0)*Y7</f>
        <v>0</v>
      </c>
      <c r="AB7" s="2">
        <f t="shared" si="3"/>
        <v>86400000</v>
      </c>
      <c r="AC7" s="2">
        <f>(F7*T7)/365.26/Agriculture!$D$2</f>
        <v>0</v>
      </c>
      <c r="AD7" s="3">
        <f>SUM(Z7:AA7)*Conversion!$F$19</f>
        <v>23722.559999999998</v>
      </c>
      <c r="AE7">
        <f t="shared" si="4"/>
        <v>33</v>
      </c>
      <c r="AF7" s="3">
        <f t="shared" si="1"/>
        <v>782844.48</v>
      </c>
      <c r="AG7">
        <f t="shared" si="5"/>
        <v>96000000</v>
      </c>
    </row>
    <row r="8" spans="1:33" ht="18">
      <c r="A8" t="s">
        <v>91</v>
      </c>
      <c r="B8">
        <v>0</v>
      </c>
      <c r="D8">
        <v>40</v>
      </c>
      <c r="F8" s="2">
        <f>IF(D8&gt;0,D8*Agriculture!$D$2+Agriculture!$E$16*E8,IF(E8&gt;0,0,Agriculture!$D$2*0.025))</f>
        <v>40000000</v>
      </c>
      <c r="G8" s="2">
        <f>L8*1/Agriculture!$C$49*Agriculture!$E$16</f>
        <v>0</v>
      </c>
      <c r="I8">
        <v>8000</v>
      </c>
      <c r="K8" s="48">
        <f>IF(I8&gt;0,I8,J8/2000*Conversion!$D$23)</f>
        <v>8000</v>
      </c>
      <c r="T8" s="60">
        <f t="shared" si="2"/>
        <v>0</v>
      </c>
      <c r="U8" s="60"/>
      <c r="W8">
        <v>1</v>
      </c>
      <c r="X8">
        <f t="shared" si="0"/>
        <v>1</v>
      </c>
      <c r="Y8" s="2">
        <v>0.1</v>
      </c>
      <c r="Z8" s="2">
        <f>IF(K8&gt;0,F8/K8/X8*Conversion!$E$18,0)*Y8</f>
        <v>5000000</v>
      </c>
      <c r="AA8" s="2">
        <f>IF(L8&gt;0,G8/L8/X8*Conversion!$E$18,0)*Y8</f>
        <v>0</v>
      </c>
      <c r="AB8" s="2">
        <f t="shared" si="3"/>
        <v>5000000</v>
      </c>
      <c r="AC8" s="2">
        <f>(F8*T8)/365.26/Agriculture!$D$2</f>
        <v>0</v>
      </c>
      <c r="AD8" s="3">
        <f>SUM(Z8:AA8)*Conversion!$F$19</f>
        <v>1235.55</v>
      </c>
      <c r="AE8">
        <f t="shared" si="4"/>
        <v>33</v>
      </c>
      <c r="AF8" s="3">
        <f t="shared" si="1"/>
        <v>40773.15</v>
      </c>
      <c r="AG8">
        <f t="shared" si="5"/>
        <v>0</v>
      </c>
    </row>
    <row r="9" spans="1:33" ht="18">
      <c r="A9" t="s">
        <v>184</v>
      </c>
      <c r="B9">
        <v>0</v>
      </c>
      <c r="E9">
        <v>0.05</v>
      </c>
      <c r="F9" s="2">
        <f>IF(D9&gt;0,D9*Agriculture!$D$2+Agriculture!$E$16*E9,IF(E9&gt;0,0,Agriculture!$D$2*0.025))</f>
        <v>0</v>
      </c>
      <c r="G9" s="2">
        <f>L9*1/Agriculture!$C$49*Agriculture!$E$16</f>
        <v>310245685.44215196</v>
      </c>
      <c r="I9" s="60"/>
      <c r="J9" s="60"/>
      <c r="K9" s="48"/>
      <c r="L9" s="60">
        <v>12000</v>
      </c>
      <c r="M9" s="60"/>
      <c r="N9" s="60"/>
      <c r="O9" s="59"/>
      <c r="P9" s="59"/>
      <c r="Q9" s="59"/>
      <c r="R9" s="59"/>
      <c r="S9" s="59"/>
      <c r="T9" s="60">
        <f t="shared" si="2"/>
        <v>0</v>
      </c>
      <c r="U9" s="60"/>
      <c r="X9">
        <f t="shared" si="0"/>
        <v>1</v>
      </c>
      <c r="Y9" s="2">
        <v>0.1</v>
      </c>
      <c r="Z9" s="2">
        <f>IF(K9&gt;0,F9/K9/X9*Conversion!$E$18,0)*Y9</f>
        <v>0</v>
      </c>
      <c r="AA9" s="2">
        <f>IF(L9&gt;0,G9/L9/X9*Conversion!$E$18,0)*Y9</f>
        <v>25853807.120179333</v>
      </c>
      <c r="AB9" s="2">
        <f t="shared" si="3"/>
        <v>25853807.120179333</v>
      </c>
      <c r="AC9" s="2">
        <f>(F9*T9)/365.26/Agriculture!$D$2</f>
        <v>0</v>
      </c>
      <c r="AD9" s="3">
        <f>SUM(Z9:AA9)*Conversion!$F$19</f>
        <v>6388.7342774675144</v>
      </c>
      <c r="AE9">
        <f>16+12.4+4.6+6</f>
        <v>39</v>
      </c>
      <c r="AF9" s="3">
        <f t="shared" si="1"/>
        <v>249160.63682123306</v>
      </c>
      <c r="AG9">
        <f t="shared" si="5"/>
        <v>0</v>
      </c>
    </row>
    <row r="10" spans="1:33" ht="18">
      <c r="A10" t="s">
        <v>666</v>
      </c>
      <c r="D10">
        <v>20</v>
      </c>
      <c r="F10" s="2">
        <f>IF(D10&gt;0,D10*Agriculture!$D$2+Agriculture!$E$16*E10,IF(E10&gt;0,0,Agriculture!$D$2*0.025))</f>
        <v>20000000</v>
      </c>
      <c r="G10" s="2">
        <f>L10*1/Agriculture!$C$49*Agriculture!$E$16</f>
        <v>0</v>
      </c>
      <c r="I10" s="60">
        <v>2400</v>
      </c>
      <c r="J10" s="60"/>
      <c r="K10" s="48">
        <v>2400</v>
      </c>
      <c r="L10" s="60"/>
      <c r="M10" s="60"/>
      <c r="N10" s="60"/>
      <c r="O10" s="59"/>
      <c r="P10" s="59"/>
      <c r="Q10" s="59"/>
      <c r="R10" s="59"/>
      <c r="S10" s="59"/>
      <c r="T10" s="60"/>
      <c r="U10" s="60">
        <v>3</v>
      </c>
      <c r="X10">
        <f t="shared" ref="X10" si="6">IF(N10&gt;0,1,IF(M10&gt;0,FLOOR(365.26/M10,0.1),1))</f>
        <v>1</v>
      </c>
      <c r="Y10" s="2">
        <v>0.1</v>
      </c>
      <c r="Z10" s="2">
        <f>IF(K10&gt;0,F10/K10/X10*Conversion!$E$18,0)*Y10</f>
        <v>8333333.3333333349</v>
      </c>
      <c r="AA10" s="2">
        <f>IF(L10&gt;0,G10/L10/X10*Conversion!$E$18,0)*Y10</f>
        <v>0</v>
      </c>
      <c r="AB10" s="2">
        <f t="shared" ref="AB10" si="7">(Z10+AA10)*IF(V10&gt;0,V10,1)</f>
        <v>8333333.3333333349</v>
      </c>
      <c r="AC10" s="2">
        <f>(F10*T10)/365.26/Agriculture!$D$2</f>
        <v>0</v>
      </c>
      <c r="AD10" s="3">
        <f>SUM(Z10:AA10)*Conversion!$F$19</f>
        <v>2059.2500000000005</v>
      </c>
      <c r="AE10">
        <f t="shared" si="4"/>
        <v>33</v>
      </c>
      <c r="AF10" s="3">
        <f t="shared" si="1"/>
        <v>67955.250000000015</v>
      </c>
      <c r="AG10">
        <f t="shared" si="5"/>
        <v>8333333.3333333349</v>
      </c>
    </row>
    <row r="11" spans="1:33" ht="18">
      <c r="A11" t="s">
        <v>406</v>
      </c>
      <c r="B11">
        <v>0</v>
      </c>
      <c r="D11">
        <v>0.1</v>
      </c>
      <c r="F11" s="2">
        <f>IF(D11&gt;0,D11*Agriculture!$D$2+Agriculture!$E$16*E11,IF(E11&gt;0,0,Agriculture!$D$2*0.025))</f>
        <v>100000</v>
      </c>
      <c r="G11" s="2">
        <f>L11*1/Agriculture!$C$49*Agriculture!$E$16</f>
        <v>0</v>
      </c>
      <c r="I11">
        <v>390</v>
      </c>
      <c r="K11" s="48">
        <f>IF(I11&gt;0,I11,J11/2000*Conversion!$D$23)</f>
        <v>390</v>
      </c>
      <c r="M11">
        <v>150</v>
      </c>
      <c r="T11" s="60">
        <f t="shared" si="2"/>
        <v>0</v>
      </c>
      <c r="U11" s="60"/>
      <c r="V11">
        <v>0.5</v>
      </c>
      <c r="W11">
        <v>1</v>
      </c>
      <c r="X11">
        <f t="shared" si="0"/>
        <v>2.4000000000000004</v>
      </c>
      <c r="Y11" s="2">
        <v>0.1</v>
      </c>
      <c r="Z11" s="2">
        <f>IF(K11&gt;0,F11/K11/X11*Conversion!$E$18,0)*Y11</f>
        <v>106837.60683760683</v>
      </c>
      <c r="AA11" s="2">
        <f>IF(L11&gt;0,G11/L11/X11*Conversion!$E$18,0)*Y11</f>
        <v>0</v>
      </c>
      <c r="AB11" s="2">
        <f t="shared" si="3"/>
        <v>53418.803418803414</v>
      </c>
      <c r="AC11" s="2">
        <f>(F11*T11)/365.26/Agriculture!$D$2</f>
        <v>0</v>
      </c>
      <c r="AD11" s="3">
        <f>SUM(Z11:AA11)*Conversion!$F$19</f>
        <v>26.400641025641022</v>
      </c>
      <c r="AE11">
        <f t="shared" si="4"/>
        <v>33</v>
      </c>
      <c r="AF11" s="3">
        <f t="shared" si="1"/>
        <v>2090.9307692307693</v>
      </c>
      <c r="AG11">
        <f t="shared" si="5"/>
        <v>0</v>
      </c>
    </row>
    <row r="12" spans="1:33" ht="18">
      <c r="A12" t="s">
        <v>108</v>
      </c>
      <c r="B12">
        <v>0</v>
      </c>
      <c r="D12">
        <v>2</v>
      </c>
      <c r="F12" s="2">
        <f>IF(D12&gt;0,D12*Agriculture!$D$2+Agriculture!$E$16*E12,IF(E12&gt;0,0,Agriculture!$D$2*0.025))</f>
        <v>2000000</v>
      </c>
      <c r="G12" s="2">
        <f>L12*1/Agriculture!$C$49*Agriculture!$E$16</f>
        <v>0</v>
      </c>
      <c r="I12">
        <v>1650</v>
      </c>
      <c r="K12" s="48">
        <f>IF(I12&gt;0,I12,J12/2000*Conversion!$D$23)</f>
        <v>1650</v>
      </c>
      <c r="T12" s="60">
        <f t="shared" si="2"/>
        <v>0</v>
      </c>
      <c r="U12" s="60"/>
      <c r="V12">
        <v>0.5</v>
      </c>
      <c r="W12">
        <v>1</v>
      </c>
      <c r="X12">
        <f t="shared" si="0"/>
        <v>1</v>
      </c>
      <c r="Y12" s="2">
        <v>0.1</v>
      </c>
      <c r="Z12" s="2">
        <f>IF(K12&gt;0,F12/K12/X12*Conversion!$E$18,0)*Y12</f>
        <v>1212121.2121212119</v>
      </c>
      <c r="AA12" s="2">
        <f>IF(L12&gt;0,G12/L12/X12*Conversion!$E$18,0)*Y12</f>
        <v>0</v>
      </c>
      <c r="AB12" s="2">
        <f t="shared" si="3"/>
        <v>606060.60606060596</v>
      </c>
      <c r="AC12" s="2">
        <f>(F12*T12)/365.26/Agriculture!$D$2</f>
        <v>0</v>
      </c>
      <c r="AD12" s="3">
        <f>SUM(Z12:AA12)*Conversion!$F$19</f>
        <v>299.52727272727265</v>
      </c>
      <c r="AE12">
        <f t="shared" si="4"/>
        <v>33</v>
      </c>
      <c r="AF12" s="3">
        <f t="shared" si="1"/>
        <v>9884.3999999999978</v>
      </c>
      <c r="AG12">
        <f t="shared" si="5"/>
        <v>0</v>
      </c>
    </row>
    <row r="13" spans="1:33" ht="18">
      <c r="F13" s="2"/>
      <c r="G13" s="2"/>
      <c r="K13" s="48"/>
      <c r="T13" s="60"/>
      <c r="U13" s="60"/>
      <c r="Y13" s="2"/>
      <c r="Z13" s="2"/>
      <c r="AA13" s="2"/>
      <c r="AB13" s="2"/>
      <c r="AC13" s="2"/>
      <c r="AD13" s="3">
        <f>SUM(Z13:AA13)*Conversion!$F$19</f>
        <v>0</v>
      </c>
      <c r="AF13" s="3"/>
      <c r="AG13">
        <f t="shared" si="5"/>
        <v>0</v>
      </c>
    </row>
    <row r="14" spans="1:33" ht="18">
      <c r="A14" t="s">
        <v>371</v>
      </c>
      <c r="B14">
        <v>0</v>
      </c>
      <c r="F14" s="2">
        <f>IF(D14&gt;0,D14*Agriculture!$D$2+Agriculture!$E$16*E14,IF(E14&gt;0,0,Agriculture!$D$2*0.025))</f>
        <v>25000</v>
      </c>
      <c r="G14" s="2">
        <f>L14*1/Agriculture!$C$49*Agriculture!$E$16</f>
        <v>667028223.70062661</v>
      </c>
      <c r="J14">
        <v>12000</v>
      </c>
      <c r="K14" s="48">
        <f>IF(I14&gt;0,I14,J14/2000*Conversion!$D$23)</f>
        <v>13450.21386</v>
      </c>
      <c r="L14">
        <v>25800</v>
      </c>
      <c r="O14" s="59"/>
      <c r="P14" s="59"/>
      <c r="Q14" s="59"/>
      <c r="R14" s="59"/>
      <c r="S14" s="59"/>
      <c r="T14" s="60">
        <f t="shared" si="2"/>
        <v>0</v>
      </c>
      <c r="U14" s="60"/>
      <c r="X14">
        <f t="shared" si="0"/>
        <v>1</v>
      </c>
      <c r="Y14" s="2">
        <v>0.1</v>
      </c>
      <c r="Z14" s="2">
        <f>IF(K14&gt;0,F14/K14/X14*Conversion!$E$18,0)*Y14</f>
        <v>1858.7065053551498</v>
      </c>
      <c r="AA14" s="2">
        <f>IF(L14&gt;0,G14/L14/X14*Conversion!$E$18,0)*Y14</f>
        <v>25853807.120179325</v>
      </c>
      <c r="AB14" s="2">
        <f t="shared" si="3"/>
        <v>25855665.82668468</v>
      </c>
      <c r="AC14" s="2">
        <f>(F14*T14)/365.26/Agriculture!$D$2</f>
        <v>0</v>
      </c>
      <c r="AD14" s="3">
        <f>SUM(Z14:AA14)*Conversion!$F$19</f>
        <v>6389.1935824320508</v>
      </c>
      <c r="AE14">
        <f t="shared" si="4"/>
        <v>33</v>
      </c>
      <c r="AF14" s="3">
        <f t="shared" ref="AF14:AF45" si="8">X14*AD14*AE14</f>
        <v>210843.38822025768</v>
      </c>
      <c r="AG14">
        <f t="shared" si="5"/>
        <v>0</v>
      </c>
    </row>
    <row r="15" spans="1:33" ht="18">
      <c r="F15" s="2"/>
      <c r="G15" s="2"/>
      <c r="K15" s="48"/>
      <c r="O15" s="59"/>
      <c r="P15" s="59"/>
      <c r="Q15" s="59"/>
      <c r="R15" s="59"/>
      <c r="S15" s="59"/>
      <c r="T15" s="60"/>
      <c r="U15" s="60"/>
      <c r="Y15" s="2"/>
      <c r="Z15" s="2"/>
      <c r="AA15" s="2"/>
      <c r="AB15" s="2"/>
      <c r="AC15" s="2"/>
      <c r="AD15" s="3">
        <f>SUM(Z15:AA15)*Conversion!$F$19</f>
        <v>0</v>
      </c>
      <c r="AF15" s="3">
        <f t="shared" si="8"/>
        <v>0</v>
      </c>
      <c r="AG15">
        <f t="shared" si="5"/>
        <v>0</v>
      </c>
    </row>
    <row r="16" spans="1:33" ht="18">
      <c r="A16" t="str">
        <f>Agriculture!B25</f>
        <v>Sugar</v>
      </c>
      <c r="C16">
        <f>SUM(C17:C18)</f>
        <v>1</v>
      </c>
      <c r="D16">
        <f>Agriculture!G25</f>
        <v>35.636108527131782</v>
      </c>
      <c r="F16" s="2"/>
      <c r="G16" s="2"/>
      <c r="K16" s="48"/>
      <c r="O16" s="59"/>
      <c r="P16" s="59"/>
      <c r="Q16" s="59"/>
      <c r="R16" s="59"/>
      <c r="S16" s="59"/>
      <c r="T16" s="60"/>
      <c r="U16" s="60"/>
      <c r="Y16" s="2"/>
      <c r="Z16" s="2"/>
      <c r="AA16" s="2"/>
      <c r="AB16" s="2"/>
      <c r="AC16" s="2"/>
      <c r="AD16" s="3">
        <f>SUM(Z16:AA16)*Conversion!$F$19</f>
        <v>0</v>
      </c>
      <c r="AF16" s="3">
        <f t="shared" si="8"/>
        <v>0</v>
      </c>
      <c r="AG16">
        <f t="shared" si="5"/>
        <v>0</v>
      </c>
    </row>
    <row r="17" spans="1:33" ht="18">
      <c r="A17" t="s">
        <v>242</v>
      </c>
      <c r="B17">
        <v>2</v>
      </c>
      <c r="C17">
        <v>1</v>
      </c>
      <c r="D17">
        <f>$D$16*C17/$C$16</f>
        <v>35.636108527131782</v>
      </c>
      <c r="F17" s="2">
        <f>IF(D17&gt;0,D17*Agriculture!$D$2+Agriculture!$E$16*E17,IF(E17&gt;0,0,Agriculture!$D$2*0.025))</f>
        <v>35636108.527131781</v>
      </c>
      <c r="G17" s="2">
        <f>L17*1/Agriculture!$C$49*Agriculture!$E$16</f>
        <v>0</v>
      </c>
      <c r="H17" t="s">
        <v>382</v>
      </c>
      <c r="I17">
        <v>9339</v>
      </c>
      <c r="K17" s="48">
        <f>IF(I17&gt;0,I17,J17/2000*Conversion!$D$23)</f>
        <v>9339</v>
      </c>
      <c r="O17" s="59">
        <v>0</v>
      </c>
      <c r="P17" s="59">
        <v>0</v>
      </c>
      <c r="Q17" s="59">
        <v>0</v>
      </c>
      <c r="R17" s="59">
        <v>99.98</v>
      </c>
      <c r="S17" s="59">
        <v>3634</v>
      </c>
      <c r="T17" s="60">
        <f>(O17*4+R17*4+P17*9+Q17*9)*10</f>
        <v>3999.2000000000003</v>
      </c>
      <c r="U17" s="60"/>
      <c r="V17" s="59">
        <v>0.31</v>
      </c>
      <c r="X17">
        <f>IF(N17&gt;0,1,IF(M17&gt;0,FLOOR(365.26/M17,0.1),1))</f>
        <v>1</v>
      </c>
      <c r="Y17" s="2">
        <v>0.1</v>
      </c>
      <c r="Z17" s="2">
        <f>IF(K17&gt;0,F17/K17/X17*Conversion!$E$18,0)*Y17</f>
        <v>3815837.7264302149</v>
      </c>
      <c r="AA17" s="2">
        <f>IF(L17&gt;0,G17/L17/X17*Conversion!$E$18,0)*Y17</f>
        <v>0</v>
      </c>
      <c r="AB17" s="2">
        <f>(Z17+AA17)*IF(V17&gt;0,V17,1)</f>
        <v>1182909.6951933666</v>
      </c>
      <c r="AC17" s="2">
        <f>(F17*T17)/365.26/Agriculture!$D$2</f>
        <v>390.1766555924695</v>
      </c>
      <c r="AD17" s="3">
        <f>SUM(Z17:AA17)*Conversion!$F$19</f>
        <v>942.93166057817041</v>
      </c>
      <c r="AE17">
        <f t="shared" ref="AE17" si="9">16+12.4+4.6</f>
        <v>33</v>
      </c>
      <c r="AF17" s="3">
        <f t="shared" si="8"/>
        <v>31116.744799079624</v>
      </c>
      <c r="AG17">
        <f t="shared" si="5"/>
        <v>0</v>
      </c>
    </row>
    <row r="18" spans="1:33" ht="18">
      <c r="A18" t="s">
        <v>358</v>
      </c>
      <c r="B18">
        <v>2</v>
      </c>
      <c r="C18">
        <v>0</v>
      </c>
      <c r="D18">
        <f>$D$16*C18/$C$16</f>
        <v>0</v>
      </c>
      <c r="F18" s="2">
        <f>IF(D18&gt;0,D18*Agriculture!$D$2+Agriculture!$E$16*E18,IF(E18&gt;0,0,Agriculture!$D$2*0.025))</f>
        <v>25000</v>
      </c>
      <c r="G18" s="2">
        <f>L18*1/Agriculture!$C$49*Agriculture!$E$16</f>
        <v>0</v>
      </c>
      <c r="H18" t="s">
        <v>382</v>
      </c>
      <c r="I18">
        <v>7151</v>
      </c>
      <c r="K18" s="48">
        <f>IF(I18&gt;0,I18,J18/2000*Conversion!$D$23)</f>
        <v>7151</v>
      </c>
      <c r="O18" s="59">
        <v>0</v>
      </c>
      <c r="P18" s="59">
        <v>0</v>
      </c>
      <c r="Q18" s="59">
        <v>0</v>
      </c>
      <c r="R18" s="59">
        <v>99.98</v>
      </c>
      <c r="S18" s="59">
        <v>2781</v>
      </c>
      <c r="T18" s="60">
        <f>(O18*4+R18*4+P18*9+Q18*9)*10</f>
        <v>3999.2000000000003</v>
      </c>
      <c r="U18" s="60"/>
      <c r="X18">
        <f>IF(N18&gt;0,1,IF(M18&gt;0,FLOOR(365.26/M18,0.1),1))</f>
        <v>1</v>
      </c>
      <c r="Y18" s="2">
        <v>0.1</v>
      </c>
      <c r="Z18" s="2">
        <f>IF(K18&gt;0,F18/K18/X18*Conversion!$E$18,0)*Y18</f>
        <v>3496.0145434205006</v>
      </c>
      <c r="AA18" s="2">
        <f>IF(L18&gt;0,G18/L18/X18*Conversion!$E$18,0)*Y18</f>
        <v>0</v>
      </c>
      <c r="AB18" s="2">
        <f>(Z18+AA18)*IF(V18&gt;0,V18,1)</f>
        <v>3496.0145434205006</v>
      </c>
      <c r="AC18" s="2">
        <f>(F18*T18)/365.26/Agriculture!$D$2</f>
        <v>0.27372282757487815</v>
      </c>
      <c r="AD18" s="3">
        <f>SUM(Z18:AA18)*Conversion!$F$19</f>
        <v>0.8639001538246398</v>
      </c>
      <c r="AE18">
        <f>16+6+10.5</f>
        <v>32.5</v>
      </c>
      <c r="AF18" s="3">
        <f t="shared" si="8"/>
        <v>28.076754999300793</v>
      </c>
      <c r="AG18">
        <f t="shared" si="5"/>
        <v>0</v>
      </c>
    </row>
    <row r="19" spans="1:33" ht="18">
      <c r="F19" s="2"/>
      <c r="G19" s="2"/>
      <c r="K19" s="48"/>
      <c r="O19" s="59"/>
      <c r="P19" s="59"/>
      <c r="Q19" s="59"/>
      <c r="R19" s="59"/>
      <c r="S19" s="59"/>
      <c r="T19" s="60"/>
      <c r="U19" s="60"/>
      <c r="Y19" s="2">
        <v>0.1</v>
      </c>
      <c r="Z19" s="2"/>
      <c r="AA19" s="2"/>
      <c r="AB19" s="2"/>
      <c r="AC19" s="2"/>
      <c r="AD19" s="3">
        <f>SUM(Z19:AA19)*Conversion!$F$19</f>
        <v>0</v>
      </c>
      <c r="AF19" s="3">
        <f t="shared" si="8"/>
        <v>0</v>
      </c>
      <c r="AG19">
        <f t="shared" si="5"/>
        <v>0</v>
      </c>
    </row>
    <row r="20" spans="1:33" ht="18">
      <c r="A20" t="str">
        <f>Agriculture!B26</f>
        <v>Oil &amp; Fats</v>
      </c>
      <c r="C20">
        <f>SUM(C21:C43)</f>
        <v>4.9999999999999982</v>
      </c>
      <c r="D20">
        <f>Agriculture!G26</f>
        <v>27.549446266968328</v>
      </c>
      <c r="F20" s="2"/>
      <c r="G20" s="2"/>
      <c r="K20" s="48"/>
      <c r="O20" s="59"/>
      <c r="P20" s="59"/>
      <c r="Q20" s="59"/>
      <c r="R20" s="59"/>
      <c r="S20" s="59"/>
      <c r="T20" s="60"/>
      <c r="U20" s="60"/>
      <c r="Y20" s="2">
        <v>0.1</v>
      </c>
      <c r="Z20" s="2"/>
      <c r="AA20" s="2"/>
      <c r="AB20" s="2"/>
      <c r="AC20" s="2"/>
      <c r="AD20" s="3">
        <f>SUM(Z20:AA20)*Conversion!$F$19</f>
        <v>0</v>
      </c>
      <c r="AF20" s="3">
        <f t="shared" si="8"/>
        <v>0</v>
      </c>
      <c r="AG20">
        <f t="shared" si="5"/>
        <v>0</v>
      </c>
    </row>
    <row r="21" spans="1:33">
      <c r="A21" t="s">
        <v>384</v>
      </c>
      <c r="B21">
        <v>3</v>
      </c>
      <c r="C21">
        <v>0.2</v>
      </c>
      <c r="D21">
        <f>$D$20*C21/$C$20</f>
        <v>1.1019778506787337</v>
      </c>
      <c r="F21" s="2">
        <f>IF(D21&gt;0,D21*Agriculture!$D$2+Agriculture!$E$16*E21,IF(E21&gt;0,0,Agriculture!$D$2*0.025))</f>
        <v>1101977.8506787336</v>
      </c>
      <c r="G21" s="2">
        <f>L21*1/Agriculture!$C$49*Agriculture!$E$16</f>
        <v>0</v>
      </c>
      <c r="J21">
        <v>1150</v>
      </c>
      <c r="K21" s="48">
        <f>IF(I21&gt;0,I21,J21/2000*Conversion!$D$23)</f>
        <v>1288.9788282499999</v>
      </c>
      <c r="N21">
        <v>1</v>
      </c>
      <c r="X21">
        <f t="shared" ref="X21:X43" si="10">IF(N21&gt;0,1,IF(M21&gt;0,FLOOR(365.26/M21,0.1),1))</f>
        <v>1</v>
      </c>
      <c r="Y21" s="2">
        <v>1</v>
      </c>
      <c r="Z21" s="2">
        <f>IF(K21&gt;0,F21/K21/X21*Conversion!$E$18,0)*Y21</f>
        <v>8549231.5818317141</v>
      </c>
      <c r="AA21" s="2">
        <f>IF(L21&gt;0,G21/L21/X21*Conversion!$E$18,0)*Y21</f>
        <v>0</v>
      </c>
      <c r="AB21" s="2">
        <f t="shared" ref="AB21:AB43" si="11">(Z21+AA21)*IF(V21&gt;0,V21,1)</f>
        <v>8549231.5818317141</v>
      </c>
      <c r="AC21" s="2">
        <f>(F21*T21)/365.26/Agriculture!$D$2</f>
        <v>0</v>
      </c>
      <c r="AD21" s="3">
        <f>SUM(Z21:AA21)*Conversion!$F$19</f>
        <v>2112.6006161864348</v>
      </c>
      <c r="AE21">
        <f>1.5+9.4+3.9</f>
        <v>14.8</v>
      </c>
      <c r="AF21" s="3">
        <f t="shared" si="8"/>
        <v>31266.489119559235</v>
      </c>
      <c r="AG21">
        <f t="shared" si="5"/>
        <v>0</v>
      </c>
    </row>
    <row r="22" spans="1:33" ht="18">
      <c r="A22" t="s">
        <v>380</v>
      </c>
      <c r="B22">
        <v>3</v>
      </c>
      <c r="C22">
        <v>1</v>
      </c>
      <c r="D22">
        <f t="shared" ref="D22:D42" si="12">$D$20*C22/$C$20</f>
        <v>5.5098892533936672</v>
      </c>
      <c r="F22" s="2">
        <f>IF(D22&gt;0,D22*Agriculture!$D$2+Agriculture!$E$16*E22,IF(E22&gt;0,0,Agriculture!$D$2*0.025))</f>
        <v>5509889.2533936668</v>
      </c>
      <c r="G22" s="2">
        <f>L22*1/Agriculture!$C$49*Agriculture!$E$16</f>
        <v>0</v>
      </c>
      <c r="I22" s="48"/>
      <c r="J22">
        <v>3680</v>
      </c>
      <c r="K22" s="48">
        <f>IF(I22&gt;0,I22,J22/2000*Conversion!$D$23)</f>
        <v>4124.7322504000003</v>
      </c>
      <c r="N22">
        <v>1</v>
      </c>
      <c r="T22" s="60">
        <f t="shared" ref="T22:T43" si="13">(O22*4+R22*4+P22*9+Q22*9)*10</f>
        <v>0</v>
      </c>
      <c r="U22" s="60">
        <v>12</v>
      </c>
      <c r="X22">
        <f t="shared" si="10"/>
        <v>1</v>
      </c>
      <c r="Y22" s="2">
        <v>1</v>
      </c>
      <c r="Z22" s="2">
        <f>IF(K22&gt;0,F22/K22/X22*Conversion!$E$18,0)*Y22</f>
        <v>13358174.346612047</v>
      </c>
      <c r="AA22" s="2">
        <f>IF(L22&gt;0,G22/L22/X22*Conversion!$E$18,0)*Y22</f>
        <v>0</v>
      </c>
      <c r="AB22" s="2">
        <f t="shared" si="11"/>
        <v>13358174.346612047</v>
      </c>
      <c r="AC22" s="2">
        <f>(F22*T22)/365.26/Agriculture!$D$2</f>
        <v>0</v>
      </c>
      <c r="AD22" s="3">
        <f>SUM(Z22:AA22)*Conversion!$F$19</f>
        <v>3300.9384627913028</v>
      </c>
      <c r="AE22">
        <f t="shared" ref="AE22:AE85" si="14">1.5+9.4+3.9</f>
        <v>14.8</v>
      </c>
      <c r="AF22" s="3">
        <f t="shared" si="8"/>
        <v>48853.88924931128</v>
      </c>
      <c r="AG22">
        <f t="shared" si="5"/>
        <v>13358174.346612047</v>
      </c>
    </row>
    <row r="23" spans="1:33" ht="18">
      <c r="A23" t="s">
        <v>332</v>
      </c>
      <c r="B23">
        <v>3</v>
      </c>
      <c r="C23">
        <v>0</v>
      </c>
      <c r="D23">
        <f t="shared" si="12"/>
        <v>0</v>
      </c>
      <c r="F23" s="2">
        <f>IF(D23&gt;0,D23*Agriculture!$D$2+Agriculture!$E$16*E23,IF(E23&gt;0,0,Agriculture!$D$2*0.025))</f>
        <v>25000</v>
      </c>
      <c r="G23" s="2">
        <f>L23*1/Agriculture!$C$49*Agriculture!$E$16</f>
        <v>0</v>
      </c>
      <c r="H23" t="s">
        <v>382</v>
      </c>
      <c r="I23" s="60">
        <v>3370</v>
      </c>
      <c r="J23" s="60"/>
      <c r="K23" s="48">
        <f>IF(I23&gt;0,I23,J23/2000*Conversion!$D$23)</f>
        <v>3370</v>
      </c>
      <c r="L23" s="60"/>
      <c r="M23" s="60"/>
      <c r="N23" s="60"/>
      <c r="O23" s="59">
        <v>27</v>
      </c>
      <c r="P23" s="59">
        <v>34</v>
      </c>
      <c r="Q23" s="59">
        <v>53</v>
      </c>
      <c r="R23" s="59">
        <v>30</v>
      </c>
      <c r="S23" s="60">
        <v>1747</v>
      </c>
      <c r="T23" s="60">
        <f t="shared" si="13"/>
        <v>10110</v>
      </c>
      <c r="U23" s="60"/>
      <c r="V23" s="118">
        <v>0.31</v>
      </c>
      <c r="X23">
        <f t="shared" si="10"/>
        <v>1</v>
      </c>
      <c r="Y23" s="2">
        <v>0.1</v>
      </c>
      <c r="Z23" s="2">
        <f>IF(K23&gt;0,F23/K23/X23*Conversion!$E$18,0)*Y23</f>
        <v>7418.39762611276</v>
      </c>
      <c r="AA23" s="2">
        <f>IF(L23&gt;0,G23/L23/X23*Conversion!$E$18,0)*Y23</f>
        <v>0</v>
      </c>
      <c r="AB23" s="2">
        <f t="shared" si="11"/>
        <v>2299.7032640949556</v>
      </c>
      <c r="AC23" s="2">
        <f>(F23*T23)/365.26/Agriculture!$D$2</f>
        <v>0.69197284126375735</v>
      </c>
      <c r="AD23" s="3">
        <f>SUM(Z23:AA23)*Conversion!$F$19</f>
        <v>1.8331602373887239</v>
      </c>
      <c r="AE23">
        <f t="shared" si="14"/>
        <v>14.8</v>
      </c>
      <c r="AF23" s="3">
        <f t="shared" si="8"/>
        <v>27.130771513353114</v>
      </c>
      <c r="AG23">
        <f t="shared" si="5"/>
        <v>0</v>
      </c>
    </row>
    <row r="24" spans="1:33" ht="18">
      <c r="A24" t="s">
        <v>333</v>
      </c>
      <c r="B24">
        <v>3</v>
      </c>
      <c r="C24">
        <v>0</v>
      </c>
      <c r="D24">
        <f t="shared" si="12"/>
        <v>0</v>
      </c>
      <c r="F24" s="2">
        <f>IF(D24&gt;0,D24*Agriculture!$D$2+Agriculture!$E$16*E24,IF(E24&gt;0,0,Agriculture!$D$2*0.025))</f>
        <v>25000</v>
      </c>
      <c r="G24" s="2">
        <f>L24*1/Agriculture!$C$49*Agriculture!$E$16</f>
        <v>0</v>
      </c>
      <c r="H24" t="s">
        <v>382</v>
      </c>
      <c r="I24" s="60">
        <v>1500</v>
      </c>
      <c r="J24" s="60"/>
      <c r="K24" s="48">
        <f>IF(I24&gt;0,I24,J24/2000*Conversion!$D$23)</f>
        <v>1500</v>
      </c>
      <c r="L24" s="60"/>
      <c r="M24" s="60"/>
      <c r="N24" s="60"/>
      <c r="O24" s="59">
        <v>15.62</v>
      </c>
      <c r="P24" s="59">
        <v>30.75</v>
      </c>
      <c r="Q24" s="59">
        <v>76</v>
      </c>
      <c r="R24" s="59">
        <v>43.85</v>
      </c>
      <c r="S24" s="59">
        <v>751</v>
      </c>
      <c r="T24" s="60">
        <f t="shared" si="13"/>
        <v>11986.300000000001</v>
      </c>
      <c r="U24" s="60"/>
      <c r="X24">
        <f t="shared" si="10"/>
        <v>1</v>
      </c>
      <c r="Y24" s="2">
        <v>0.1</v>
      </c>
      <c r="Z24" s="2">
        <f>IF(K24&gt;0,F24/K24/X24*Conversion!$E$18,0)*Y24</f>
        <v>16666.666666666668</v>
      </c>
      <c r="AA24" s="2">
        <f>IF(L24&gt;0,G24/L24/X24*Conversion!$E$18,0)*Y24</f>
        <v>0</v>
      </c>
      <c r="AB24" s="2">
        <f t="shared" si="11"/>
        <v>16666.666666666668</v>
      </c>
      <c r="AC24" s="2">
        <f>(F24*T24)/365.26/Agriculture!$D$2</f>
        <v>0.82039506105240112</v>
      </c>
      <c r="AD24" s="3">
        <f>SUM(Z24:AA24)*Conversion!$F$19</f>
        <v>4.1185</v>
      </c>
      <c r="AE24">
        <f t="shared" si="14"/>
        <v>14.8</v>
      </c>
      <c r="AF24" s="3">
        <f t="shared" si="8"/>
        <v>60.953800000000001</v>
      </c>
      <c r="AG24">
        <f t="shared" si="5"/>
        <v>0</v>
      </c>
    </row>
    <row r="25" spans="1:33" ht="18">
      <c r="A25" t="s">
        <v>419</v>
      </c>
      <c r="B25">
        <v>3</v>
      </c>
      <c r="C25">
        <v>0</v>
      </c>
      <c r="D25">
        <f t="shared" si="12"/>
        <v>0</v>
      </c>
      <c r="F25" s="2">
        <f>IF(D25&gt;0,D25*Agriculture!$D$2+Agriculture!$E$16*E25,IF(E25&gt;0,0,Agriculture!$D$2*0.025))</f>
        <v>25000</v>
      </c>
      <c r="G25" s="2">
        <f>L25*1/Agriculture!$C$49*Agriculture!$E$16</f>
        <v>0</v>
      </c>
      <c r="H25" t="s">
        <v>382</v>
      </c>
      <c r="I25">
        <v>8000</v>
      </c>
      <c r="K25" s="48">
        <f>IF(I25&gt;0,I25,J25/2000*Conversion!$D$23)</f>
        <v>8000</v>
      </c>
      <c r="O25" s="59">
        <v>8.6</v>
      </c>
      <c r="P25" s="59">
        <v>21.8</v>
      </c>
      <c r="Q25" s="59">
        <v>9.1999999999999993</v>
      </c>
      <c r="R25" s="59">
        <v>48</v>
      </c>
      <c r="S25" s="60">
        <v>3290</v>
      </c>
      <c r="T25" s="60">
        <f t="shared" si="13"/>
        <v>5054</v>
      </c>
      <c r="U25" s="60"/>
      <c r="W25">
        <v>1</v>
      </c>
      <c r="X25">
        <f t="shared" si="10"/>
        <v>1</v>
      </c>
      <c r="Y25" s="2">
        <v>0.1</v>
      </c>
      <c r="Z25" s="2">
        <f>IF(K25&gt;0,F25/K25/X25*Conversion!$E$18,0)*Y25</f>
        <v>3125</v>
      </c>
      <c r="AA25" s="2">
        <f>IF(L25&gt;0,G25/L25/X25*Conversion!$E$18,0)*Y25</f>
        <v>0</v>
      </c>
      <c r="AB25" s="2">
        <f t="shared" si="11"/>
        <v>3125</v>
      </c>
      <c r="AC25" s="2">
        <f>(F25*T25)/365.26/Agriculture!$D$2</f>
        <v>0.34591797623610576</v>
      </c>
      <c r="AD25" s="3">
        <f>SUM(Z25:AA25)*Conversion!$F$19</f>
        <v>0.77221874999999995</v>
      </c>
      <c r="AE25">
        <f t="shared" si="14"/>
        <v>14.8</v>
      </c>
      <c r="AF25" s="3">
        <f t="shared" si="8"/>
        <v>11.4288375</v>
      </c>
      <c r="AG25">
        <f t="shared" si="5"/>
        <v>0</v>
      </c>
    </row>
    <row r="26" spans="1:33" ht="18">
      <c r="A26" t="s">
        <v>334</v>
      </c>
      <c r="B26">
        <v>3</v>
      </c>
      <c r="C26">
        <v>0.1</v>
      </c>
      <c r="D26">
        <f t="shared" si="12"/>
        <v>0.55098892533936683</v>
      </c>
      <c r="F26" s="2">
        <f>IF(D26&gt;0,D26*Agriculture!$D$2+Agriculture!$E$16*E26,IF(E26&gt;0,0,Agriculture!$D$2*0.025))</f>
        <v>550988.92533936678</v>
      </c>
      <c r="G26" s="2">
        <f>L26*1/Agriculture!$C$49*Agriculture!$E$16</f>
        <v>0</v>
      </c>
      <c r="H26" t="s">
        <v>382</v>
      </c>
      <c r="I26" s="60">
        <v>1350</v>
      </c>
      <c r="J26" s="60"/>
      <c r="K26" s="48">
        <f>IF(I26&gt;0,I26,J26/2000*Conversion!$D$23)</f>
        <v>1350</v>
      </c>
      <c r="L26" s="60"/>
      <c r="M26" s="60"/>
      <c r="N26" s="60">
        <v>1</v>
      </c>
      <c r="O26" s="59">
        <v>0</v>
      </c>
      <c r="P26" s="59">
        <v>100</v>
      </c>
      <c r="Q26" s="59">
        <v>3</v>
      </c>
      <c r="R26" s="59">
        <v>0</v>
      </c>
      <c r="S26" s="60">
        <v>1188</v>
      </c>
      <c r="T26" s="60">
        <f t="shared" si="13"/>
        <v>9270</v>
      </c>
      <c r="U26" s="60"/>
      <c r="X26">
        <f t="shared" si="10"/>
        <v>1</v>
      </c>
      <c r="Y26" s="2">
        <v>1</v>
      </c>
      <c r="Z26" s="2">
        <f>IF(K26&gt;0,F26/K26/X26*Conversion!$E$18,0)*Y26</f>
        <v>4081399.4469582723</v>
      </c>
      <c r="AA26" s="2">
        <f>IF(L26&gt;0,G26/L26/X26*Conversion!$E$18,0)*Y26</f>
        <v>0</v>
      </c>
      <c r="AB26" s="2">
        <f t="shared" si="11"/>
        <v>4081399.4469582723</v>
      </c>
      <c r="AC26" s="2">
        <f>(F26*T26)/365.26/Agriculture!$D$2</f>
        <v>13.983648190045256</v>
      </c>
      <c r="AD26" s="3">
        <f>SUM(Z26:AA26)*Conversion!$F$19</f>
        <v>1008.5546173378586</v>
      </c>
      <c r="AE26">
        <f t="shared" si="14"/>
        <v>14.8</v>
      </c>
      <c r="AF26" s="3">
        <f t="shared" si="8"/>
        <v>14926.608336600309</v>
      </c>
      <c r="AG26">
        <f t="shared" si="5"/>
        <v>0</v>
      </c>
    </row>
    <row r="27" spans="1:33" ht="18">
      <c r="A27" t="s">
        <v>335</v>
      </c>
      <c r="B27">
        <v>3</v>
      </c>
      <c r="C27">
        <v>0.1</v>
      </c>
      <c r="D27">
        <f t="shared" si="12"/>
        <v>0.55098892533936683</v>
      </c>
      <c r="F27" s="2">
        <f>IF(D27&gt;0,D27*Agriculture!$D$2+Agriculture!$E$16*E27,IF(E27&gt;0,0,Agriculture!$D$2*0.025))</f>
        <v>550988.92533936678</v>
      </c>
      <c r="G27" s="2">
        <f>L27*1/Agriculture!$C$49*Agriculture!$E$16</f>
        <v>0</v>
      </c>
      <c r="H27" t="s">
        <v>382</v>
      </c>
      <c r="I27" s="60">
        <v>3333</v>
      </c>
      <c r="J27" s="60"/>
      <c r="K27" s="48">
        <f>IF(I27&gt;0,I27,J27/2000*Conversion!$D$23)</f>
        <v>3333</v>
      </c>
      <c r="L27" s="60"/>
      <c r="M27" s="60"/>
      <c r="N27" s="60"/>
      <c r="O27" s="59">
        <v>35</v>
      </c>
      <c r="P27" s="59">
        <v>5</v>
      </c>
      <c r="Q27" s="59">
        <v>0</v>
      </c>
      <c r="R27" s="59">
        <v>30</v>
      </c>
      <c r="S27" s="59">
        <v>979</v>
      </c>
      <c r="T27" s="60">
        <f t="shared" si="13"/>
        <v>3050</v>
      </c>
      <c r="U27" s="60"/>
      <c r="X27">
        <f t="shared" si="10"/>
        <v>1</v>
      </c>
      <c r="Y27" s="2">
        <v>0.1</v>
      </c>
      <c r="Z27" s="2">
        <f>IF(K27&gt;0,F27/K27/X27*Conversion!$E$18,0)*Y27</f>
        <v>165313.20892270232</v>
      </c>
      <c r="AA27" s="2">
        <f>IF(L27&gt;0,G27/L27/X27*Conversion!$E$18,0)*Y27</f>
        <v>0</v>
      </c>
      <c r="AB27" s="2">
        <f t="shared" si="11"/>
        <v>165313.20892270232</v>
      </c>
      <c r="AC27" s="2">
        <f>(F27*T27)/365.26/Agriculture!$D$2</f>
        <v>4.6008766968325814</v>
      </c>
      <c r="AD27" s="3">
        <f>SUM(Z27:AA27)*Conversion!$F$19</f>
        <v>40.850547056888971</v>
      </c>
      <c r="AE27">
        <f t="shared" si="14"/>
        <v>14.8</v>
      </c>
      <c r="AF27" s="3">
        <f t="shared" si="8"/>
        <v>604.58809644195685</v>
      </c>
      <c r="AG27">
        <f t="shared" si="5"/>
        <v>0</v>
      </c>
    </row>
    <row r="28" spans="1:33" ht="18">
      <c r="A28" t="s">
        <v>336</v>
      </c>
      <c r="B28">
        <v>3</v>
      </c>
      <c r="C28">
        <v>0.2</v>
      </c>
      <c r="D28">
        <f t="shared" si="12"/>
        <v>1.1019778506787337</v>
      </c>
      <c r="E28">
        <v>0.05</v>
      </c>
      <c r="F28" s="2">
        <f>IF(D28&gt;0,D28*Agriculture!$D$2+Agriculture!$E$16*E28,IF(E28&gt;0,0,Agriculture!$D$2*0.025))</f>
        <v>121444986.54333346</v>
      </c>
      <c r="G28" s="2">
        <f>L28*1/Agriculture!$C$49*Agriculture!$E$16</f>
        <v>51707614.240358651</v>
      </c>
      <c r="H28" t="s">
        <v>382</v>
      </c>
      <c r="I28" s="60">
        <v>2000</v>
      </c>
      <c r="J28" s="60"/>
      <c r="K28" s="48">
        <f>IF(I28&gt;0,I28,J28/2000*Conversion!$D$23)</f>
        <v>2000</v>
      </c>
      <c r="L28" s="60">
        <f>I28</f>
        <v>2000</v>
      </c>
      <c r="M28" s="60"/>
      <c r="N28" s="60"/>
      <c r="O28" s="59">
        <v>18.29</v>
      </c>
      <c r="P28" s="59">
        <v>42.16</v>
      </c>
      <c r="Q28" s="59">
        <v>68</v>
      </c>
      <c r="R28" s="59">
        <v>28.88</v>
      </c>
      <c r="S28" s="60">
        <v>1106</v>
      </c>
      <c r="T28" s="60">
        <f t="shared" si="13"/>
        <v>11801.199999999999</v>
      </c>
      <c r="U28" s="60"/>
      <c r="X28">
        <f t="shared" si="10"/>
        <v>1</v>
      </c>
      <c r="Y28" s="2">
        <v>0.1</v>
      </c>
      <c r="Z28" s="2">
        <f>IF(K28&gt;0,F28/K28/X28*Conversion!$E$18,0)*Y28</f>
        <v>60722493.271666735</v>
      </c>
      <c r="AA28" s="2">
        <f>IF(L28&gt;0,G28/L28/X28*Conversion!$E$18,0)*Y28</f>
        <v>25853807.120179325</v>
      </c>
      <c r="AB28" s="2">
        <f t="shared" si="11"/>
        <v>86576300.391846061</v>
      </c>
      <c r="AC28" s="2">
        <f>(F28*T28)/365.26/Agriculture!$D$2</f>
        <v>3923.7709445194841</v>
      </c>
      <c r="AD28" s="3">
        <f>SUM(Z28:AA28)*Conversion!$F$19</f>
        <v>21393.869589829079</v>
      </c>
      <c r="AE28">
        <f t="shared" si="14"/>
        <v>14.8</v>
      </c>
      <c r="AF28" s="3">
        <f t="shared" si="8"/>
        <v>316629.26992947038</v>
      </c>
      <c r="AG28">
        <f t="shared" si="5"/>
        <v>0</v>
      </c>
    </row>
    <row r="29" spans="1:33" ht="18">
      <c r="A29" t="s">
        <v>337</v>
      </c>
      <c r="B29">
        <v>3</v>
      </c>
      <c r="C29">
        <v>0</v>
      </c>
      <c r="D29">
        <f t="shared" si="12"/>
        <v>0</v>
      </c>
      <c r="F29" s="2">
        <f>IF(D29&gt;0,D29*Agriculture!$D$2+Agriculture!$E$16*E29,IF(E29&gt;0,0,Agriculture!$D$2*0.025))</f>
        <v>25000</v>
      </c>
      <c r="G29" s="2">
        <f>L29*1/Agriculture!$C$49*Agriculture!$E$16</f>
        <v>0</v>
      </c>
      <c r="H29" t="s">
        <v>382</v>
      </c>
      <c r="I29" s="60">
        <v>1071</v>
      </c>
      <c r="J29" s="60"/>
      <c r="K29" s="48">
        <f>IF(I29&gt;0,I29,J29/2000*Conversion!$D$23)</f>
        <v>1071</v>
      </c>
      <c r="L29" s="60"/>
      <c r="M29" s="60"/>
      <c r="N29" s="60"/>
      <c r="O29" s="59">
        <v>9</v>
      </c>
      <c r="P29" s="59">
        <v>1.8</v>
      </c>
      <c r="Q29" s="59"/>
      <c r="R29" s="59">
        <v>75</v>
      </c>
      <c r="S29" s="59">
        <v>366</v>
      </c>
      <c r="T29" s="60">
        <f t="shared" si="13"/>
        <v>3522</v>
      </c>
      <c r="U29" s="60"/>
      <c r="X29">
        <f t="shared" si="10"/>
        <v>1</v>
      </c>
      <c r="Y29" s="2">
        <v>0.1</v>
      </c>
      <c r="Z29" s="2">
        <f>IF(K29&gt;0,F29/K29/X29*Conversion!$E$18,0)*Y29</f>
        <v>23342.670401493931</v>
      </c>
      <c r="AA29" s="2">
        <f>IF(L29&gt;0,G29/L29/X29*Conversion!$E$18,0)*Y29</f>
        <v>0</v>
      </c>
      <c r="AB29" s="2">
        <f t="shared" si="11"/>
        <v>23342.670401493931</v>
      </c>
      <c r="AC29" s="2">
        <f>(F29*T29)/365.26/Agriculture!$D$2</f>
        <v>0.24106116191206264</v>
      </c>
      <c r="AD29" s="3">
        <f>SUM(Z29:AA29)*Conversion!$F$19</f>
        <v>5.7682072829131652</v>
      </c>
      <c r="AE29">
        <f t="shared" si="14"/>
        <v>14.8</v>
      </c>
      <c r="AF29" s="3">
        <f t="shared" si="8"/>
        <v>85.369467787114843</v>
      </c>
      <c r="AG29">
        <f t="shared" si="5"/>
        <v>0</v>
      </c>
    </row>
    <row r="30" spans="1:33" ht="18">
      <c r="A30" t="s">
        <v>339</v>
      </c>
      <c r="B30">
        <v>3</v>
      </c>
      <c r="C30">
        <v>0.2</v>
      </c>
      <c r="D30">
        <f t="shared" si="12"/>
        <v>1.1019778506787337</v>
      </c>
      <c r="F30" s="2">
        <f>IF(D30&gt;0,D30*Agriculture!$D$2+Agriculture!$E$16*E30,IF(E30&gt;0,0,Agriculture!$D$2*0.025))</f>
        <v>1101977.8506787336</v>
      </c>
      <c r="G30" s="2">
        <f>L30*1/Agriculture!$C$49*Agriculture!$E$16</f>
        <v>0</v>
      </c>
      <c r="H30" t="s">
        <v>382</v>
      </c>
      <c r="I30" s="60">
        <v>2035</v>
      </c>
      <c r="J30" s="60"/>
      <c r="K30" s="48">
        <f>IF(I30&gt;0,I30,J30/2000*Conversion!$D$23)</f>
        <v>2035</v>
      </c>
      <c r="L30" s="60"/>
      <c r="M30" s="60"/>
      <c r="N30" s="60"/>
      <c r="O30" s="59">
        <v>25</v>
      </c>
      <c r="P30" s="59">
        <v>33</v>
      </c>
      <c r="Q30" s="59">
        <v>82</v>
      </c>
      <c r="R30" s="59">
        <v>30</v>
      </c>
      <c r="S30" s="59">
        <v>1022</v>
      </c>
      <c r="T30" s="60">
        <f t="shared" si="13"/>
        <v>12550</v>
      </c>
      <c r="U30" s="60"/>
      <c r="X30">
        <f t="shared" si="10"/>
        <v>1</v>
      </c>
      <c r="Y30" s="2">
        <v>0.1</v>
      </c>
      <c r="Z30" s="2">
        <f>IF(K30&gt;0,F30/K30/X30*Conversion!$E$18,0)*Y30</f>
        <v>541512.45733598701</v>
      </c>
      <c r="AA30" s="2">
        <f>IF(L30&gt;0,G30/L30/X30*Conversion!$E$18,0)*Y30</f>
        <v>0</v>
      </c>
      <c r="AB30" s="2">
        <f t="shared" si="11"/>
        <v>541512.45733598701</v>
      </c>
      <c r="AC30" s="2">
        <f>(F30*T30)/365.26/Agriculture!$D$2</f>
        <v>37.862952488687803</v>
      </c>
      <c r="AD30" s="3">
        <f>SUM(Z30:AA30)*Conversion!$F$19</f>
        <v>133.81314333229574</v>
      </c>
      <c r="AE30">
        <f t="shared" si="14"/>
        <v>14.8</v>
      </c>
      <c r="AF30" s="3">
        <f t="shared" si="8"/>
        <v>1980.434521317977</v>
      </c>
      <c r="AG30">
        <f t="shared" si="5"/>
        <v>0</v>
      </c>
    </row>
    <row r="31" spans="1:33" ht="18">
      <c r="A31" t="s">
        <v>342</v>
      </c>
      <c r="B31">
        <v>3</v>
      </c>
      <c r="C31">
        <v>0.2</v>
      </c>
      <c r="D31">
        <f t="shared" si="12"/>
        <v>1.1019778506787337</v>
      </c>
      <c r="F31" s="2">
        <f>IF(D31&gt;0,D31*Agriculture!$D$2+Agriculture!$E$16*E31,IF(E31&gt;0,0,Agriculture!$D$2*0.025))</f>
        <v>1101977.8506787336</v>
      </c>
      <c r="G31" s="2">
        <f>L31*1/Agriculture!$C$49*Agriculture!$E$16</f>
        <v>24638678.185530897</v>
      </c>
      <c r="H31" t="s">
        <v>382</v>
      </c>
      <c r="I31">
        <v>953</v>
      </c>
      <c r="K31" s="48">
        <f>IF(I31&gt;0,I31,J31/2000*Conversion!$D$23)</f>
        <v>953</v>
      </c>
      <c r="L31">
        <f>I31</f>
        <v>953</v>
      </c>
      <c r="O31" s="59">
        <v>11.02</v>
      </c>
      <c r="P31" s="59">
        <v>4.22</v>
      </c>
      <c r="Q31" s="59">
        <v>50.57</v>
      </c>
      <c r="R31" s="59">
        <v>72.849999999999994</v>
      </c>
      <c r="S31" s="59">
        <v>345</v>
      </c>
      <c r="T31" s="60">
        <f t="shared" si="13"/>
        <v>8285.9</v>
      </c>
      <c r="U31" s="60"/>
      <c r="X31">
        <f t="shared" si="10"/>
        <v>1</v>
      </c>
      <c r="Y31" s="2">
        <v>0.1</v>
      </c>
      <c r="Z31" s="2">
        <f>IF(K31&gt;0,F31/K31/X31*Conversion!$E$18,0)*Y31</f>
        <v>1156325.1318769504</v>
      </c>
      <c r="AA31" s="2">
        <f>IF(L31&gt;0,G31/L31/X31*Conversion!$E$18,0)*Y31</f>
        <v>25853807.120179325</v>
      </c>
      <c r="AB31" s="2">
        <f t="shared" si="11"/>
        <v>27010132.252056275</v>
      </c>
      <c r="AC31" s="2">
        <f>(F31*T31)/365.26/Agriculture!$D$2</f>
        <v>24.998297850678743</v>
      </c>
      <c r="AD31" s="3">
        <f>SUM(Z31:AA31)*Conversion!$F$19</f>
        <v>6674.4737808056252</v>
      </c>
      <c r="AE31">
        <f t="shared" si="14"/>
        <v>14.8</v>
      </c>
      <c r="AF31" s="3">
        <f t="shared" si="8"/>
        <v>98782.211955923252</v>
      </c>
      <c r="AG31">
        <f t="shared" si="5"/>
        <v>0</v>
      </c>
    </row>
    <row r="32" spans="1:33" ht="18">
      <c r="A32" t="s">
        <v>344</v>
      </c>
      <c r="B32">
        <v>3</v>
      </c>
      <c r="C32">
        <v>2</v>
      </c>
      <c r="D32">
        <f t="shared" si="12"/>
        <v>11.019778506787334</v>
      </c>
      <c r="F32" s="2">
        <f>IF(D32&gt;0,D32*Agriculture!$D$2+Agriculture!$E$16*E32,IF(E32&gt;0,0,Agriculture!$D$2*0.025))</f>
        <v>11019778.506787334</v>
      </c>
      <c r="G32" s="2">
        <f>L32*1/Agriculture!$C$49*Agriculture!$E$16</f>
        <v>0</v>
      </c>
      <c r="H32" t="s">
        <v>382</v>
      </c>
      <c r="I32">
        <v>2000</v>
      </c>
      <c r="K32" s="48">
        <f>IF(I32&gt;0,I32,J32/2000*Conversion!$D$23)</f>
        <v>2000</v>
      </c>
      <c r="N32">
        <v>1</v>
      </c>
      <c r="O32" s="59">
        <v>0</v>
      </c>
      <c r="P32" s="59">
        <v>100</v>
      </c>
      <c r="Q32" s="59">
        <v>8</v>
      </c>
      <c r="R32" s="59">
        <v>0</v>
      </c>
      <c r="S32" s="59">
        <v>1760</v>
      </c>
      <c r="T32" s="60">
        <f t="shared" si="13"/>
        <v>9720</v>
      </c>
      <c r="U32" s="60"/>
      <c r="X32">
        <f t="shared" si="10"/>
        <v>1</v>
      </c>
      <c r="Y32" s="2">
        <v>1</v>
      </c>
      <c r="Z32" s="2">
        <f>IF(K32&gt;0,F32/K32/X32*Conversion!$E$18,0)*Y32</f>
        <v>55098892.533936672</v>
      </c>
      <c r="AA32" s="2">
        <f>IF(L32&gt;0,G32/L32/X32*Conversion!$E$18,0)*Y32</f>
        <v>0</v>
      </c>
      <c r="AB32" s="2">
        <f t="shared" si="11"/>
        <v>55098892.533936672</v>
      </c>
      <c r="AC32" s="2">
        <f>(F32*T32)/365.26/Agriculture!$D$2</f>
        <v>293.24932126696842</v>
      </c>
      <c r="AD32" s="3">
        <f>SUM(Z32:AA32)*Conversion!$F$19</f>
        <v>13615.48733406109</v>
      </c>
      <c r="AE32">
        <f t="shared" si="14"/>
        <v>14.8</v>
      </c>
      <c r="AF32" s="3">
        <f t="shared" si="8"/>
        <v>201509.21254410414</v>
      </c>
      <c r="AG32">
        <f t="shared" si="5"/>
        <v>0</v>
      </c>
    </row>
    <row r="33" spans="1:33" ht="18">
      <c r="A33" t="s">
        <v>394</v>
      </c>
      <c r="B33">
        <v>3</v>
      </c>
      <c r="C33">
        <v>0</v>
      </c>
      <c r="D33">
        <f t="shared" si="12"/>
        <v>0</v>
      </c>
      <c r="F33" s="2">
        <f>IF(D33&gt;0,D33*Agriculture!$D$2+Agriculture!$E$16*E33,IF(E33&gt;0,0,Agriculture!$D$2*0.025))</f>
        <v>25000</v>
      </c>
      <c r="G33" s="2">
        <f>L33*1/Agriculture!$C$49*Agriculture!$E$16</f>
        <v>0</v>
      </c>
      <c r="J33">
        <v>4320</v>
      </c>
      <c r="K33" s="48">
        <f>IF(I33&gt;0,I33,J33/2000*Conversion!$D$23)</f>
        <v>4842.0769896000002</v>
      </c>
      <c r="N33">
        <v>1</v>
      </c>
      <c r="O33" s="59"/>
      <c r="P33" s="59"/>
      <c r="Q33" s="59"/>
      <c r="R33" s="59"/>
      <c r="S33" s="59"/>
      <c r="T33" s="60">
        <f t="shared" si="13"/>
        <v>0</v>
      </c>
      <c r="U33" s="60"/>
      <c r="X33">
        <f t="shared" si="10"/>
        <v>1</v>
      </c>
      <c r="Y33" s="2">
        <v>1</v>
      </c>
      <c r="Z33" s="2">
        <f>IF(K33&gt;0,F33/K33/X33*Conversion!$E$18,0)*Y33</f>
        <v>51630.736259865276</v>
      </c>
      <c r="AA33" s="2">
        <f>IF(L33&gt;0,G33/L33/X33*Conversion!$E$18,0)*Y33</f>
        <v>0</v>
      </c>
      <c r="AB33" s="2">
        <f t="shared" si="11"/>
        <v>51630.736259865276</v>
      </c>
      <c r="AC33" s="2">
        <f>(F33*T33)/365.26/Agriculture!$D$2</f>
        <v>0</v>
      </c>
      <c r="AD33" s="3">
        <f>SUM(Z33:AA33)*Conversion!$F$19</f>
        <v>12.758471237175307</v>
      </c>
      <c r="AE33">
        <f t="shared" si="14"/>
        <v>14.8</v>
      </c>
      <c r="AF33" s="3">
        <f t="shared" si="8"/>
        <v>188.82537431019455</v>
      </c>
      <c r="AG33">
        <f t="shared" si="5"/>
        <v>0</v>
      </c>
    </row>
    <row r="34" spans="1:33" ht="18">
      <c r="A34" t="s">
        <v>346</v>
      </c>
      <c r="B34">
        <v>3</v>
      </c>
      <c r="C34">
        <v>0</v>
      </c>
      <c r="D34">
        <f t="shared" si="12"/>
        <v>0</v>
      </c>
      <c r="F34" s="2">
        <f>IF(D34&gt;0,D34*Agriculture!$D$2+Agriculture!$E$16*E34,IF(E34&gt;0,0,Agriculture!$D$2*0.025))</f>
        <v>25000</v>
      </c>
      <c r="G34" s="2">
        <f>L34*1/Agriculture!$C$49*Agriculture!$E$16</f>
        <v>0</v>
      </c>
      <c r="H34" t="s">
        <v>382</v>
      </c>
      <c r="I34">
        <v>291</v>
      </c>
      <c r="K34" s="48">
        <f>IF(I34&gt;0,I34,J34/2000*Conversion!$D$23)</f>
        <v>291</v>
      </c>
      <c r="N34">
        <v>1</v>
      </c>
      <c r="O34" s="59"/>
      <c r="P34" s="59">
        <v>100</v>
      </c>
      <c r="Q34" s="59">
        <v>2.2999999999999998</v>
      </c>
      <c r="R34" s="59"/>
      <c r="S34" s="59">
        <v>256</v>
      </c>
      <c r="T34" s="60">
        <f t="shared" si="13"/>
        <v>9207</v>
      </c>
      <c r="U34" s="60">
        <v>20</v>
      </c>
      <c r="X34">
        <f t="shared" si="10"/>
        <v>1</v>
      </c>
      <c r="Y34" s="2">
        <v>1</v>
      </c>
      <c r="Z34" s="2">
        <f>IF(K34&gt;0,F34/K34/X34*Conversion!$E$18,0)*Y34</f>
        <v>859106.52920962195</v>
      </c>
      <c r="AA34" s="2">
        <f>IF(L34&gt;0,G34/L34/X34*Conversion!$E$18,0)*Y34</f>
        <v>0</v>
      </c>
      <c r="AB34" s="2">
        <f t="shared" si="11"/>
        <v>859106.52920962195</v>
      </c>
      <c r="AC34" s="2">
        <f>(F34*T34)/365.26/Agriculture!$D$2</f>
        <v>0.63016755188085194</v>
      </c>
      <c r="AD34" s="3">
        <f>SUM(Z34:AA34)*Conversion!$F$19</f>
        <v>212.29381443298968</v>
      </c>
      <c r="AE34">
        <f t="shared" si="14"/>
        <v>14.8</v>
      </c>
      <c r="AF34" s="3">
        <f t="shared" si="8"/>
        <v>3141.9484536082473</v>
      </c>
      <c r="AG34">
        <f t="shared" si="5"/>
        <v>859106.52920962195</v>
      </c>
    </row>
    <row r="35" spans="1:33" ht="18">
      <c r="A35" t="s">
        <v>345</v>
      </c>
      <c r="B35">
        <v>3</v>
      </c>
      <c r="C35">
        <v>0</v>
      </c>
      <c r="D35">
        <f t="shared" si="12"/>
        <v>0</v>
      </c>
      <c r="F35" s="2">
        <f>IF(D35&gt;0,D35*Agriculture!$D$2+Agriculture!$E$16*E35,IF(E35&gt;0,0,Agriculture!$D$2*0.025))</f>
        <v>25000</v>
      </c>
      <c r="G35" s="2">
        <f>L35*1/Agriculture!$C$49*Agriculture!$E$16</f>
        <v>0</v>
      </c>
      <c r="H35" t="s">
        <v>382</v>
      </c>
      <c r="I35">
        <v>4000</v>
      </c>
      <c r="K35" s="48">
        <f>IF(I35&gt;0,I35,J35/2000*Conversion!$D$23)</f>
        <v>4000</v>
      </c>
      <c r="N35">
        <v>1</v>
      </c>
      <c r="O35" s="59">
        <v>0</v>
      </c>
      <c r="P35" s="59">
        <v>100</v>
      </c>
      <c r="Q35" s="59">
        <v>10.8</v>
      </c>
      <c r="R35" s="59">
        <v>0</v>
      </c>
      <c r="S35" s="59">
        <v>3520</v>
      </c>
      <c r="T35" s="60">
        <f t="shared" si="13"/>
        <v>9972</v>
      </c>
      <c r="U35" s="60">
        <v>20</v>
      </c>
      <c r="X35">
        <f t="shared" si="10"/>
        <v>1</v>
      </c>
      <c r="Y35" s="2">
        <v>1</v>
      </c>
      <c r="Z35" s="2">
        <f>IF(K35&gt;0,F35/K35/X35*Conversion!$E$18,0)*Y35</f>
        <v>62500</v>
      </c>
      <c r="AA35" s="2">
        <f>IF(L35&gt;0,G35/L35/X35*Conversion!$E$18,0)*Y35</f>
        <v>0</v>
      </c>
      <c r="AB35" s="2">
        <f t="shared" si="11"/>
        <v>62500</v>
      </c>
      <c r="AC35" s="2">
        <f>(F35*T35)/365.26/Agriculture!$D$2</f>
        <v>0.68252751464710071</v>
      </c>
      <c r="AD35" s="3">
        <f>SUM(Z35:AA35)*Conversion!$F$19</f>
        <v>15.444374999999999</v>
      </c>
      <c r="AE35">
        <f t="shared" si="14"/>
        <v>14.8</v>
      </c>
      <c r="AF35" s="3">
        <f t="shared" si="8"/>
        <v>228.57675</v>
      </c>
      <c r="AG35">
        <f t="shared" si="5"/>
        <v>62500</v>
      </c>
    </row>
    <row r="36" spans="1:33" ht="18">
      <c r="A36" t="s">
        <v>385</v>
      </c>
      <c r="B36">
        <v>3</v>
      </c>
      <c r="C36">
        <v>0.1</v>
      </c>
      <c r="D36">
        <f t="shared" si="12"/>
        <v>0.55098892533936683</v>
      </c>
      <c r="F36" s="2">
        <f>IF(D36&gt;0,D36*Agriculture!$D$2+Agriculture!$E$16*E36,IF(E36&gt;0,0,Agriculture!$D$2*0.025))</f>
        <v>550988.92533936678</v>
      </c>
      <c r="G36" s="2">
        <f>L36*1/Agriculture!$C$49*Agriculture!$E$16</f>
        <v>0</v>
      </c>
      <c r="J36">
        <v>962</v>
      </c>
      <c r="K36" s="48">
        <f>IF(I36&gt;0,I36,J36/2000*Conversion!$D$23)</f>
        <v>1078.2588111100001</v>
      </c>
      <c r="N36">
        <v>1</v>
      </c>
      <c r="O36" s="59"/>
      <c r="P36" s="59"/>
      <c r="Q36" s="59"/>
      <c r="R36" s="59"/>
      <c r="S36" s="59"/>
      <c r="T36" s="60">
        <f t="shared" si="13"/>
        <v>0</v>
      </c>
      <c r="U36" s="60"/>
      <c r="X36">
        <f t="shared" si="10"/>
        <v>1</v>
      </c>
      <c r="Y36" s="2">
        <v>1</v>
      </c>
      <c r="Z36" s="2">
        <f>IF(K36&gt;0,F36/K36/X36*Conversion!$E$18,0)*Y36</f>
        <v>5109987.6918432787</v>
      </c>
      <c r="AA36" s="2">
        <f>IF(L36&gt;0,G36/L36/X36*Conversion!$E$18,0)*Y36</f>
        <v>0</v>
      </c>
      <c r="AB36" s="2">
        <f t="shared" si="11"/>
        <v>5109987.6918432787</v>
      </c>
      <c r="AC36" s="2">
        <f>(F36*T36)/365.26/Agriculture!$D$2</f>
        <v>0</v>
      </c>
      <c r="AD36" s="3">
        <f>SUM(Z36:AA36)*Conversion!$F$19</f>
        <v>1262.7290585313924</v>
      </c>
      <c r="AE36">
        <f t="shared" si="14"/>
        <v>14.8</v>
      </c>
      <c r="AF36" s="3">
        <f t="shared" si="8"/>
        <v>18688.390066264608</v>
      </c>
      <c r="AG36">
        <f t="shared" si="5"/>
        <v>0</v>
      </c>
    </row>
    <row r="37" spans="1:33" ht="18">
      <c r="A37" t="s">
        <v>386</v>
      </c>
      <c r="B37">
        <v>3</v>
      </c>
      <c r="C37">
        <v>0.1</v>
      </c>
      <c r="D37">
        <f t="shared" si="12"/>
        <v>0.55098892533936683</v>
      </c>
      <c r="F37" s="2">
        <f>IF(D37&gt;0,D37*Agriculture!$D$2+Agriculture!$E$16*E37,IF(E37&gt;0,0,Agriculture!$D$2*0.025))</f>
        <v>550988.92533936678</v>
      </c>
      <c r="G37" s="2">
        <f>L37*1/Agriculture!$C$49*Agriculture!$E$16</f>
        <v>0</v>
      </c>
      <c r="J37">
        <v>1490</v>
      </c>
      <c r="K37" s="48">
        <f>IF(I37&gt;0,I37,J37/2000*Conversion!$D$23)</f>
        <v>1670.0682209500001</v>
      </c>
      <c r="N37">
        <v>1</v>
      </c>
      <c r="O37" s="59"/>
      <c r="P37" s="59"/>
      <c r="Q37" s="59"/>
      <c r="R37" s="59"/>
      <c r="S37" s="59"/>
      <c r="T37" s="60">
        <f t="shared" si="13"/>
        <v>0</v>
      </c>
      <c r="U37" s="60"/>
      <c r="X37">
        <f t="shared" si="10"/>
        <v>1</v>
      </c>
      <c r="Y37" s="2">
        <v>1</v>
      </c>
      <c r="Z37" s="2">
        <f>IF(K37&gt;0,F37/K37/X37*Conversion!$E$18,0)*Y37</f>
        <v>3299200.1070827083</v>
      </c>
      <c r="AA37" s="2">
        <f>IF(L37&gt;0,G37/L37/X37*Conversion!$E$18,0)*Y37</f>
        <v>0</v>
      </c>
      <c r="AB37" s="2">
        <f t="shared" si="11"/>
        <v>3299200.1070827083</v>
      </c>
      <c r="AC37" s="2">
        <f>(F37*T37)/365.26/Agriculture!$D$2</f>
        <v>0</v>
      </c>
      <c r="AD37" s="3">
        <f>SUM(Z37:AA37)*Conversion!$F$19</f>
        <v>815.26533846120799</v>
      </c>
      <c r="AE37">
        <f t="shared" si="14"/>
        <v>14.8</v>
      </c>
      <c r="AF37" s="3">
        <f t="shared" si="8"/>
        <v>12065.927009225879</v>
      </c>
      <c r="AG37">
        <f t="shared" ref="AG37:AG68" si="15">IF(U37&gt;2,SUM(Z37:AA37),0)</f>
        <v>0</v>
      </c>
    </row>
    <row r="38" spans="1:33" ht="18">
      <c r="A38" t="s">
        <v>366</v>
      </c>
      <c r="B38">
        <v>3</v>
      </c>
      <c r="C38">
        <v>0.1</v>
      </c>
      <c r="D38">
        <f t="shared" si="12"/>
        <v>0.55098892533936683</v>
      </c>
      <c r="F38" s="2">
        <f>IF(D38&gt;0,D38*Agriculture!$D$2+Agriculture!$E$16*E38,IF(E38&gt;0,0,Agriculture!$D$2*0.025))</f>
        <v>550988.92533936678</v>
      </c>
      <c r="G38" s="2">
        <f>L38*1/Agriculture!$C$49*Agriculture!$E$16</f>
        <v>0</v>
      </c>
      <c r="I38">
        <v>924</v>
      </c>
      <c r="K38" s="48">
        <f>IF(I38&gt;0,I38,J38/2000*Conversion!$D$23)</f>
        <v>924</v>
      </c>
      <c r="M38">
        <v>150</v>
      </c>
      <c r="O38" s="59">
        <v>30.23</v>
      </c>
      <c r="P38" s="59">
        <v>49</v>
      </c>
      <c r="Q38" s="59">
        <v>42</v>
      </c>
      <c r="R38" s="59">
        <v>11</v>
      </c>
      <c r="S38" s="59">
        <v>543</v>
      </c>
      <c r="T38" s="60">
        <f t="shared" si="13"/>
        <v>9839.2000000000007</v>
      </c>
      <c r="U38" s="60"/>
      <c r="X38">
        <f t="shared" si="10"/>
        <v>2.4000000000000004</v>
      </c>
      <c r="Y38" s="2">
        <v>0.1</v>
      </c>
      <c r="Z38" s="2">
        <f>IF(K38&gt;0,F38/K38/X38*Conversion!$E$18,0)*Y38</f>
        <v>248461.81698203768</v>
      </c>
      <c r="AA38" s="2">
        <f>IF(L38&gt;0,G38/L38/X38*Conversion!$E$18,0)*Y38</f>
        <v>0</v>
      </c>
      <c r="AB38" s="2">
        <f t="shared" si="11"/>
        <v>248461.81698203768</v>
      </c>
      <c r="AC38" s="2">
        <f>(F38*T38)/365.26/Agriculture!$D$2</f>
        <v>14.842277375565619</v>
      </c>
      <c r="AD38" s="3">
        <f>SUM(Z38:AA38)*Conversion!$F$19</f>
        <v>61.397399594431327</v>
      </c>
      <c r="AE38">
        <f t="shared" si="14"/>
        <v>14.8</v>
      </c>
      <c r="AF38" s="3">
        <f t="shared" si="8"/>
        <v>2180.8356335942012</v>
      </c>
      <c r="AG38">
        <f t="shared" si="15"/>
        <v>0</v>
      </c>
    </row>
    <row r="39" spans="1:33" ht="18">
      <c r="A39" t="s">
        <v>350</v>
      </c>
      <c r="B39">
        <v>3</v>
      </c>
      <c r="C39">
        <v>0.2</v>
      </c>
      <c r="D39">
        <f t="shared" si="12"/>
        <v>1.1019778506787337</v>
      </c>
      <c r="F39" s="2">
        <f>IF(D39&gt;0,D39*Agriculture!$D$2+Agriculture!$E$16*E39,IF(E39&gt;0,0,Agriculture!$D$2*0.025))</f>
        <v>1101977.8506787336</v>
      </c>
      <c r="G39" s="2">
        <f>L39*1/Agriculture!$C$49*Agriculture!$E$16</f>
        <v>246774588.96211168</v>
      </c>
      <c r="H39" t="s">
        <v>382</v>
      </c>
      <c r="I39">
        <v>1909</v>
      </c>
      <c r="K39" s="48">
        <f>IF(I39&gt;0,I39,J39/2000*Conversion!$D$23)</f>
        <v>1909</v>
      </c>
      <c r="L39">
        <f>I39*5</f>
        <v>9545</v>
      </c>
      <c r="O39" s="59">
        <v>0</v>
      </c>
      <c r="P39" s="59">
        <v>44</v>
      </c>
      <c r="Q39" s="59">
        <v>0</v>
      </c>
      <c r="R39" s="59">
        <v>0</v>
      </c>
      <c r="S39" s="59">
        <v>739</v>
      </c>
      <c r="T39" s="60">
        <f t="shared" si="13"/>
        <v>3960</v>
      </c>
      <c r="U39" s="60"/>
      <c r="X39">
        <f t="shared" si="10"/>
        <v>1</v>
      </c>
      <c r="Y39" s="2">
        <v>0.1</v>
      </c>
      <c r="Z39" s="2">
        <f>IF(K39&gt;0,F39/K39/X39*Conversion!$E$18,0)*Y39</f>
        <v>577253.98149750324</v>
      </c>
      <c r="AA39" s="2">
        <f>IF(L39&gt;0,G39/L39/X39*Conversion!$E$18,0)*Y39</f>
        <v>25853807.120179329</v>
      </c>
      <c r="AB39" s="2">
        <f t="shared" si="11"/>
        <v>26431061.101676833</v>
      </c>
      <c r="AC39" s="2">
        <f>(F39*T39)/365.26/Agriculture!$D$2</f>
        <v>11.947194570135753</v>
      </c>
      <c r="AD39" s="3">
        <f>SUM(Z39:AA39)*Conversion!$F$19</f>
        <v>6531.3795088353618</v>
      </c>
      <c r="AE39">
        <f t="shared" si="14"/>
        <v>14.8</v>
      </c>
      <c r="AF39" s="3">
        <f t="shared" si="8"/>
        <v>96664.416730763362</v>
      </c>
      <c r="AG39">
        <f t="shared" si="15"/>
        <v>0</v>
      </c>
    </row>
    <row r="40" spans="1:33" ht="18">
      <c r="A40" t="s">
        <v>354</v>
      </c>
      <c r="B40">
        <v>3</v>
      </c>
      <c r="C40">
        <v>0.2</v>
      </c>
      <c r="D40">
        <f t="shared" si="12"/>
        <v>1.1019778506787337</v>
      </c>
      <c r="F40" s="2">
        <f>IF(D40&gt;0,D40*Agriculture!$D$2+Agriculture!$E$16*E40,IF(E40&gt;0,0,Agriculture!$D$2*0.025))</f>
        <v>1101977.8506787336</v>
      </c>
      <c r="G40" s="2">
        <f>L40*1/Agriculture!$C$49*Agriculture!$E$16</f>
        <v>0</v>
      </c>
      <c r="H40" t="s">
        <v>382</v>
      </c>
      <c r="I40">
        <v>890</v>
      </c>
      <c r="K40" s="48">
        <f>IF(I40&gt;0,I40,J40/2000*Conversion!$D$23)</f>
        <v>890</v>
      </c>
      <c r="O40" s="59">
        <v>16.18</v>
      </c>
      <c r="P40" s="59">
        <v>38.450000000000003</v>
      </c>
      <c r="Q40" s="59">
        <v>73.400000000000006</v>
      </c>
      <c r="R40" s="59">
        <v>34.39</v>
      </c>
      <c r="S40" s="59">
        <v>475</v>
      </c>
      <c r="T40" s="60">
        <f t="shared" si="13"/>
        <v>12089.300000000001</v>
      </c>
      <c r="U40" s="60"/>
      <c r="X40">
        <f t="shared" si="10"/>
        <v>1</v>
      </c>
      <c r="Y40" s="2">
        <v>0.1</v>
      </c>
      <c r="Z40" s="2">
        <f>IF(K40&gt;0,F40/K40/X40*Conversion!$E$18,0)*Y40</f>
        <v>1238177.3603131839</v>
      </c>
      <c r="AA40" s="2">
        <f>IF(L40&gt;0,G40/L40/X40*Conversion!$E$18,0)*Y40</f>
        <v>0</v>
      </c>
      <c r="AB40" s="2">
        <f t="shared" si="11"/>
        <v>1238177.3603131839</v>
      </c>
      <c r="AC40" s="2">
        <f>(F40*T40)/365.26/Agriculture!$D$2</f>
        <v>36.473035180995495</v>
      </c>
      <c r="AD40" s="3">
        <f>SUM(Z40:AA40)*Conversion!$F$19</f>
        <v>305.96600750699082</v>
      </c>
      <c r="AE40">
        <f t="shared" si="14"/>
        <v>14.8</v>
      </c>
      <c r="AF40" s="3">
        <f t="shared" si="8"/>
        <v>4528.2969111034645</v>
      </c>
      <c r="AG40">
        <f t="shared" si="15"/>
        <v>0</v>
      </c>
    </row>
    <row r="41" spans="1:33" ht="18">
      <c r="A41" t="s">
        <v>355</v>
      </c>
      <c r="B41">
        <v>3</v>
      </c>
      <c r="C41">
        <v>0.1</v>
      </c>
      <c r="D41">
        <f t="shared" si="12"/>
        <v>0.55098892533936683</v>
      </c>
      <c r="F41" s="2">
        <f>IF(D41&gt;0,D41*Agriculture!$D$2+Agriculture!$E$16*E41,IF(E41&gt;0,0,Agriculture!$D$2*0.025))</f>
        <v>550988.92533936678</v>
      </c>
      <c r="G41" s="2">
        <f>L41*1/Agriculture!$C$49*Agriculture!$E$16</f>
        <v>0</v>
      </c>
      <c r="H41" t="s">
        <v>382</v>
      </c>
      <c r="I41">
        <v>478</v>
      </c>
      <c r="K41" s="48">
        <f>IF(I41&gt;0,I41,J41/2000*Conversion!$D$23)</f>
        <v>478</v>
      </c>
      <c r="O41" s="59">
        <v>17.73</v>
      </c>
      <c r="P41" s="59">
        <v>49.67</v>
      </c>
      <c r="Q41" s="59">
        <v>44</v>
      </c>
      <c r="R41" s="59">
        <v>23.45</v>
      </c>
      <c r="S41" s="59">
        <v>285</v>
      </c>
      <c r="T41" s="60">
        <f t="shared" si="13"/>
        <v>10077.5</v>
      </c>
      <c r="U41" s="60"/>
      <c r="X41">
        <f t="shared" si="10"/>
        <v>1</v>
      </c>
      <c r="Y41" s="2">
        <v>0.1</v>
      </c>
      <c r="Z41" s="2">
        <f>IF(K41&gt;0,F41/K41/X41*Conversion!$E$18,0)*Y41</f>
        <v>1152696.496525872</v>
      </c>
      <c r="AA41" s="2">
        <f>IF(L41&gt;0,G41/L41/X41*Conversion!$E$18,0)*Y41</f>
        <v>0</v>
      </c>
      <c r="AB41" s="2">
        <f t="shared" si="11"/>
        <v>1152696.496525872</v>
      </c>
      <c r="AC41" s="2">
        <f>(F41*T41)/365.26/Agriculture!$D$2</f>
        <v>15.201749151583718</v>
      </c>
      <c r="AD41" s="3">
        <f>SUM(Z41:AA41)*Conversion!$F$19</f>
        <v>284.84283125650819</v>
      </c>
      <c r="AE41">
        <f t="shared" si="14"/>
        <v>14.8</v>
      </c>
      <c r="AF41" s="3">
        <f t="shared" si="8"/>
        <v>4215.6739025963216</v>
      </c>
      <c r="AG41">
        <f t="shared" si="15"/>
        <v>0</v>
      </c>
    </row>
    <row r="42" spans="1:33" ht="18">
      <c r="A42" t="s">
        <v>359</v>
      </c>
      <c r="B42">
        <v>3</v>
      </c>
      <c r="C42">
        <v>0.1</v>
      </c>
      <c r="D42">
        <f t="shared" si="12"/>
        <v>0.55098892533936683</v>
      </c>
      <c r="F42" s="2">
        <f>IF(D42&gt;0,D42*Agriculture!$D$2+Agriculture!$E$16*E42,IF(E42&gt;0,0,Agriculture!$D$2*0.025))</f>
        <v>550988.92533936678</v>
      </c>
      <c r="G42" s="2">
        <f>L42*1/Agriculture!$C$49*Agriculture!$E$16</f>
        <v>0</v>
      </c>
      <c r="H42" t="s">
        <v>382</v>
      </c>
      <c r="I42">
        <v>1424</v>
      </c>
      <c r="K42" s="48">
        <f>IF(I42&gt;0,I42,J42/2000*Conversion!$D$23)</f>
        <v>1424</v>
      </c>
      <c r="O42" s="59">
        <v>20.78</v>
      </c>
      <c r="P42" s="59">
        <v>51.64</v>
      </c>
      <c r="Q42" s="59">
        <v>45</v>
      </c>
      <c r="R42" s="59">
        <v>20</v>
      </c>
      <c r="S42" s="59">
        <v>868</v>
      </c>
      <c r="T42" s="60">
        <f t="shared" si="13"/>
        <v>10328.800000000001</v>
      </c>
      <c r="U42" s="60"/>
      <c r="X42">
        <f t="shared" si="10"/>
        <v>1</v>
      </c>
      <c r="Y42" s="2">
        <v>0.1</v>
      </c>
      <c r="Z42" s="2">
        <f>IF(K42&gt;0,F42/K42/X42*Conversion!$E$18,0)*Y42</f>
        <v>386930.42509786994</v>
      </c>
      <c r="AA42" s="2">
        <f>IF(L42&gt;0,G42/L42/X42*Conversion!$E$18,0)*Y42</f>
        <v>0</v>
      </c>
      <c r="AB42" s="2">
        <f t="shared" si="11"/>
        <v>386930.42509786994</v>
      </c>
      <c r="AC42" s="2">
        <f>(F42*T42)/365.26/Agriculture!$D$2</f>
        <v>15.580831221719466</v>
      </c>
      <c r="AD42" s="3">
        <f>SUM(Z42:AA42)*Conversion!$F$19</f>
        <v>95.614377345934642</v>
      </c>
      <c r="AE42">
        <f t="shared" si="14"/>
        <v>14.8</v>
      </c>
      <c r="AF42" s="3">
        <f t="shared" si="8"/>
        <v>1415.0927847198327</v>
      </c>
      <c r="AG42">
        <f t="shared" si="15"/>
        <v>0</v>
      </c>
    </row>
    <row r="43" spans="1:33" ht="18">
      <c r="A43" t="s">
        <v>387</v>
      </c>
      <c r="B43">
        <v>3</v>
      </c>
      <c r="C43">
        <v>0.1</v>
      </c>
      <c r="D43">
        <f>$D$20*C43/$C$20</f>
        <v>0.55098892533936683</v>
      </c>
      <c r="F43" s="2">
        <f>IF(D43&gt;0,D43*Agriculture!$D$2+Agriculture!$E$16*E43,IF(E43&gt;0,0,Agriculture!$D$2*0.025))</f>
        <v>550988.92533936678</v>
      </c>
      <c r="G43" s="2">
        <f>L43*1/Agriculture!$C$49*Agriculture!$E$16</f>
        <v>0</v>
      </c>
      <c r="J43">
        <v>2760</v>
      </c>
      <c r="K43" s="48">
        <f>IF(I43&gt;0,I43,J43/2000*Conversion!$D$23)</f>
        <v>3093.5491877999998</v>
      </c>
      <c r="T43" s="60">
        <f t="shared" si="13"/>
        <v>0</v>
      </c>
      <c r="U43" s="60">
        <v>15</v>
      </c>
      <c r="X43">
        <f t="shared" si="10"/>
        <v>1</v>
      </c>
      <c r="Y43" s="2">
        <v>1</v>
      </c>
      <c r="Z43" s="2">
        <f>IF(K43&gt;0,F43/K43/X43*Conversion!$E$18,0)*Y43</f>
        <v>1781089.912881607</v>
      </c>
      <c r="AA43" s="2">
        <f>IF(L43&gt;0,G43/L43/X43*Conversion!$E$18,0)*Y43</f>
        <v>0</v>
      </c>
      <c r="AB43" s="2">
        <f t="shared" si="11"/>
        <v>1781089.912881607</v>
      </c>
      <c r="AC43" s="2">
        <f>(F43*T43)/365.26/Agriculture!$D$2</f>
        <v>0</v>
      </c>
      <c r="AD43" s="3">
        <f>SUM(Z43:AA43)*Conversion!$F$19</f>
        <v>440.12512837217389</v>
      </c>
      <c r="AE43">
        <f t="shared" si="14"/>
        <v>14.8</v>
      </c>
      <c r="AF43" s="3">
        <f t="shared" si="8"/>
        <v>6513.8518999081734</v>
      </c>
      <c r="AG43">
        <f t="shared" si="15"/>
        <v>1781089.912881607</v>
      </c>
    </row>
    <row r="44" spans="1:33" ht="18">
      <c r="F44" s="2"/>
      <c r="G44" s="2"/>
      <c r="K44" s="48"/>
      <c r="T44" s="60"/>
      <c r="U44" s="60"/>
      <c r="Y44" s="2">
        <v>0.1</v>
      </c>
      <c r="Z44" s="2"/>
      <c r="AA44" s="2"/>
      <c r="AB44" s="2"/>
      <c r="AC44" s="2"/>
      <c r="AD44" s="3">
        <f>SUM(Z44:AA44)*Conversion!$F$19</f>
        <v>0</v>
      </c>
      <c r="AE44">
        <f t="shared" si="14"/>
        <v>14.8</v>
      </c>
      <c r="AF44" s="3">
        <f t="shared" si="8"/>
        <v>0</v>
      </c>
      <c r="AG44">
        <f t="shared" si="15"/>
        <v>0</v>
      </c>
    </row>
    <row r="45" spans="1:33" ht="18">
      <c r="A45" t="str">
        <f>Agriculture!B29</f>
        <v>Fruits &amp; Vegetables</v>
      </c>
      <c r="B45">
        <f>COUNT(B46:B81)</f>
        <v>36</v>
      </c>
      <c r="C45">
        <f>SUM(C46:C81)</f>
        <v>35.400000000000006</v>
      </c>
      <c r="D45">
        <f>Agriculture!G29</f>
        <v>140.84938245614035</v>
      </c>
      <c r="F45" s="2"/>
      <c r="G45" s="2"/>
      <c r="K45" s="48"/>
      <c r="T45" s="60"/>
      <c r="U45" s="60"/>
      <c r="Y45" s="2">
        <v>0.1</v>
      </c>
      <c r="Z45" s="2"/>
      <c r="AA45" s="2"/>
      <c r="AB45" s="2"/>
      <c r="AC45" s="2"/>
      <c r="AD45" s="3">
        <f>SUM(Z45:AA45)*Conversion!$F$19</f>
        <v>0</v>
      </c>
      <c r="AE45">
        <f t="shared" si="14"/>
        <v>14.8</v>
      </c>
      <c r="AF45" s="3">
        <f t="shared" si="8"/>
        <v>0</v>
      </c>
      <c r="AG45">
        <f t="shared" si="15"/>
        <v>0</v>
      </c>
    </row>
    <row r="46" spans="1:33" ht="18">
      <c r="A46" t="s">
        <v>93</v>
      </c>
      <c r="B46">
        <v>6</v>
      </c>
      <c r="C46">
        <v>1</v>
      </c>
      <c r="D46">
        <f>$D$45*C46/$C$45</f>
        <v>3.9787961145802351</v>
      </c>
      <c r="F46" s="2">
        <f>IF(D46&gt;0,D46*Agriculture!$D$2+Agriculture!$E$16*E46,IF(E46&gt;0,0,Agriculture!$D$2*0.025))</f>
        <v>3978796.114580235</v>
      </c>
      <c r="G46" s="2">
        <f>L46*1/Agriculture!$C$49*Agriculture!$E$16</f>
        <v>0</v>
      </c>
      <c r="J46">
        <v>25400</v>
      </c>
      <c r="K46" s="48">
        <f>IF(I46&gt;0,I46,J46/2000*Conversion!$D$23)</f>
        <v>28469.619337</v>
      </c>
      <c r="N46">
        <v>1</v>
      </c>
      <c r="R46">
        <v>98</v>
      </c>
      <c r="T46" s="60">
        <f t="shared" ref="T46:T81" si="16">(O46*4+R46*4+P46*9+Q46*9)*10</f>
        <v>3920</v>
      </c>
      <c r="U46" s="60">
        <v>6</v>
      </c>
      <c r="X46">
        <f t="shared" ref="X46:X81" si="17">IF(N46&gt;0,1,IF(M46&gt;0,FLOOR(365.26/M46,0.1),1))</f>
        <v>1</v>
      </c>
      <c r="Y46" s="2">
        <v>1</v>
      </c>
      <c r="Z46" s="2">
        <f>IF(K46&gt;0,F46/K46/X46*Conversion!$E$18,0)*Y46</f>
        <v>1397558.5930681089</v>
      </c>
      <c r="AA46" s="2">
        <f>IF(L46&gt;0,G46/L46/X46*Conversion!$E$18,0)*Y46</f>
        <v>0</v>
      </c>
      <c r="AB46" s="2">
        <f t="shared" ref="AB46:AB81" si="18">(Z46+AA46)*IF(V46&gt;0,V46,1)</f>
        <v>1397558.5930681089</v>
      </c>
      <c r="AC46" s="2">
        <f>(F46*T46)/365.26/Agriculture!$D$2</f>
        <v>42.700763207453655</v>
      </c>
      <c r="AD46" s="3">
        <f>SUM(Z46:AA46)*Conversion!$F$19</f>
        <v>345.35070393306034</v>
      </c>
      <c r="AE46">
        <f t="shared" si="14"/>
        <v>14.8</v>
      </c>
      <c r="AF46" s="3">
        <f t="shared" ref="AF46:AF77" si="19">X46*AD46*AE46</f>
        <v>5111.1904182092931</v>
      </c>
      <c r="AG46">
        <f t="shared" si="15"/>
        <v>1397558.5930681089</v>
      </c>
    </row>
    <row r="47" spans="1:33" ht="18">
      <c r="A47" t="s">
        <v>388</v>
      </c>
      <c r="B47">
        <v>6</v>
      </c>
      <c r="C47">
        <v>1</v>
      </c>
      <c r="D47">
        <f t="shared" ref="D47:D81" si="20">$D$45*C47/$C$45</f>
        <v>3.9787961145802351</v>
      </c>
      <c r="F47" s="2">
        <f>IF(D47&gt;0,D47*Agriculture!$D$2+Agriculture!$E$16*E47,IF(E47&gt;0,0,Agriculture!$D$2*0.025))</f>
        <v>3978796.114580235</v>
      </c>
      <c r="G47" s="2">
        <f>L47*1/Agriculture!$C$49*Agriculture!$E$16</f>
        <v>0</v>
      </c>
      <c r="J47">
        <v>11260</v>
      </c>
      <c r="K47" s="48">
        <f>IF(I47&gt;0,I47,J47/2000*Conversion!$D$23)</f>
        <v>12620.7840053</v>
      </c>
      <c r="N47">
        <v>1</v>
      </c>
      <c r="R47">
        <v>98</v>
      </c>
      <c r="T47" s="60">
        <f t="shared" si="16"/>
        <v>3920</v>
      </c>
      <c r="U47" s="60">
        <v>6</v>
      </c>
      <c r="X47">
        <f t="shared" si="17"/>
        <v>1</v>
      </c>
      <c r="Y47" s="2">
        <v>1</v>
      </c>
      <c r="Z47" s="2">
        <f>IF(K47&gt;0,F47/K47/X47*Conversion!$E$18,0)*Y47</f>
        <v>3152574.4461749527</v>
      </c>
      <c r="AA47" s="2">
        <f>IF(L47&gt;0,G47/L47/X47*Conversion!$E$18,0)*Y47</f>
        <v>0</v>
      </c>
      <c r="AB47" s="2">
        <f t="shared" si="18"/>
        <v>3152574.4461749527</v>
      </c>
      <c r="AC47" s="2">
        <f>(F47*T47)/365.26/Agriculture!$D$2</f>
        <v>42.700763207453655</v>
      </c>
      <c r="AD47" s="3">
        <f>SUM(Z47:AA47)*Conversion!$F$19</f>
        <v>779.03267139429249</v>
      </c>
      <c r="AE47">
        <f t="shared" si="14"/>
        <v>14.8</v>
      </c>
      <c r="AF47" s="3">
        <f t="shared" si="19"/>
        <v>11529.68353663553</v>
      </c>
      <c r="AG47">
        <f t="shared" si="15"/>
        <v>3152574.4461749527</v>
      </c>
    </row>
    <row r="48" spans="1:33" ht="18">
      <c r="A48" t="s">
        <v>410</v>
      </c>
      <c r="B48">
        <v>6</v>
      </c>
      <c r="C48">
        <v>0.1</v>
      </c>
      <c r="D48">
        <f t="shared" si="20"/>
        <v>0.39787961145802353</v>
      </c>
      <c r="F48" s="2">
        <f>IF(D48&gt;0,D48*Agriculture!$D$2+Agriculture!$E$16*E48,IF(E48&gt;0,0,Agriculture!$D$2*0.025))</f>
        <v>397879.61145802354</v>
      </c>
      <c r="G48" s="2">
        <f>L48*1/Agriculture!$C$49*Agriculture!$E$16</f>
        <v>0</v>
      </c>
      <c r="J48">
        <v>4400</v>
      </c>
      <c r="K48" s="48">
        <f>IF(I48&gt;0,I48,J48/2000*Conversion!$D$23)</f>
        <v>4931.7450820000004</v>
      </c>
      <c r="N48">
        <v>1</v>
      </c>
      <c r="T48" s="60">
        <f t="shared" si="16"/>
        <v>0</v>
      </c>
      <c r="U48" s="60"/>
      <c r="V48">
        <v>0.31</v>
      </c>
      <c r="X48">
        <f t="shared" si="17"/>
        <v>1</v>
      </c>
      <c r="Y48" s="2">
        <v>0.1</v>
      </c>
      <c r="Z48" s="2">
        <f>IF(K48&gt;0,F48/K48/X48*Conversion!$E$18,0)*Y48</f>
        <v>80677.246054386313</v>
      </c>
      <c r="AA48" s="2">
        <f>IF(L48&gt;0,G48/L48/X48*Conversion!$E$18,0)*Y48</f>
        <v>0</v>
      </c>
      <c r="AB48" s="2">
        <f t="shared" si="18"/>
        <v>25009.946276859755</v>
      </c>
      <c r="AC48" s="2">
        <f>(F48*T48)/365.26/Agriculture!$D$2</f>
        <v>0</v>
      </c>
      <c r="AD48" s="3">
        <f>SUM(Z48:AA48)*Conversion!$F$19</f>
        <v>19.936154272499401</v>
      </c>
      <c r="AE48">
        <f t="shared" si="14"/>
        <v>14.8</v>
      </c>
      <c r="AF48" s="3">
        <f t="shared" si="19"/>
        <v>295.05508323299114</v>
      </c>
      <c r="AG48">
        <f t="shared" si="15"/>
        <v>0</v>
      </c>
    </row>
    <row r="49" spans="1:33" ht="18">
      <c r="A49" t="s">
        <v>408</v>
      </c>
      <c r="B49">
        <v>6</v>
      </c>
      <c r="C49">
        <v>0.1</v>
      </c>
      <c r="D49">
        <f t="shared" si="20"/>
        <v>0.39787961145802353</v>
      </c>
      <c r="F49" s="2">
        <f>IF(D49&gt;0,D49*Agriculture!$D$2+Agriculture!$E$16*E49,IF(E49&gt;0,0,Agriculture!$D$2*0.025))</f>
        <v>397879.61145802354</v>
      </c>
      <c r="G49" s="2">
        <f>L49*1/Agriculture!$C$49*Agriculture!$E$16</f>
        <v>0</v>
      </c>
      <c r="J49">
        <v>10800</v>
      </c>
      <c r="K49" s="48">
        <f>IF(I49&gt;0,I49,J49/2000*Conversion!$D$23)</f>
        <v>12105.192474000001</v>
      </c>
      <c r="M49">
        <v>60</v>
      </c>
      <c r="O49" s="59"/>
      <c r="R49" s="59"/>
      <c r="S49" s="59"/>
      <c r="T49" s="60">
        <f t="shared" si="16"/>
        <v>0</v>
      </c>
      <c r="U49" s="60"/>
      <c r="V49">
        <v>0.31</v>
      </c>
      <c r="X49">
        <f t="shared" si="17"/>
        <v>6</v>
      </c>
      <c r="Y49" s="2">
        <v>0.1</v>
      </c>
      <c r="Z49" s="2">
        <f>IF(K49&gt;0,F49/K49/X49*Conversion!$E$18,0)*Y49</f>
        <v>5478.0846086311685</v>
      </c>
      <c r="AA49" s="2">
        <f>IF(L49&gt;0,G49/L49/X49*Conversion!$E$18,0)*Y49</f>
        <v>0</v>
      </c>
      <c r="AB49" s="2">
        <f t="shared" si="18"/>
        <v>1698.2062286756623</v>
      </c>
      <c r="AC49" s="2">
        <f>(F49*T49)/365.26/Agriculture!$D$2</f>
        <v>0</v>
      </c>
      <c r="AD49" s="3">
        <f>SUM(Z49:AA49)*Conversion!$F$19</f>
        <v>1.3536894876388479</v>
      </c>
      <c r="AE49">
        <f t="shared" si="14"/>
        <v>14.8</v>
      </c>
      <c r="AF49" s="3">
        <f t="shared" si="19"/>
        <v>120.2076265023297</v>
      </c>
      <c r="AG49">
        <f t="shared" si="15"/>
        <v>0</v>
      </c>
    </row>
    <row r="50" spans="1:33" ht="18">
      <c r="A50" t="s">
        <v>325</v>
      </c>
      <c r="B50">
        <v>6</v>
      </c>
      <c r="C50">
        <v>2</v>
      </c>
      <c r="D50">
        <f t="shared" si="20"/>
        <v>7.9575922291604702</v>
      </c>
      <c r="F50" s="2">
        <f>IF(D50&gt;0,D50*Agriculture!$D$2+Agriculture!$E$16*E50,IF(E50&gt;0,0,Agriculture!$D$2*0.025))</f>
        <v>7957592.22916047</v>
      </c>
      <c r="G50" s="2">
        <f>L50*1/Agriculture!$C$49*Agriculture!$E$16</f>
        <v>0</v>
      </c>
      <c r="H50" t="s">
        <v>382</v>
      </c>
      <c r="I50">
        <v>16951</v>
      </c>
      <c r="J50">
        <v>7300</v>
      </c>
      <c r="K50" s="48">
        <f>IF(I50&gt;0,I50,J50/2000*Conversion!$D$23)</f>
        <v>16951</v>
      </c>
      <c r="M50">
        <v>150</v>
      </c>
      <c r="O50" s="59">
        <v>2.82</v>
      </c>
      <c r="P50" s="59">
        <v>0.37</v>
      </c>
      <c r="R50" s="59">
        <v>6.64</v>
      </c>
      <c r="S50" s="59">
        <v>675</v>
      </c>
      <c r="T50" s="60">
        <f t="shared" si="16"/>
        <v>411.69999999999993</v>
      </c>
      <c r="U50" s="60"/>
      <c r="V50">
        <v>0.31</v>
      </c>
      <c r="X50">
        <f t="shared" si="17"/>
        <v>2.4000000000000004</v>
      </c>
      <c r="Y50" s="2">
        <v>0.1</v>
      </c>
      <c r="Z50" s="2">
        <f>IF(K50&gt;0,F50/K50/X50*Conversion!$E$18,0)*Y50</f>
        <v>195602.82159264127</v>
      </c>
      <c r="AA50" s="2">
        <f>IF(L50&gt;0,G50/L50/X50*Conversion!$E$18,0)*Y50</f>
        <v>0</v>
      </c>
      <c r="AB50" s="2">
        <f t="shared" si="18"/>
        <v>60636.87469371879</v>
      </c>
      <c r="AC50" s="2">
        <f>(F50*T50)/365.26/Agriculture!$D$2</f>
        <v>8.9693388839329931</v>
      </c>
      <c r="AD50" s="3">
        <f>SUM(Z50:AA50)*Conversion!$F$19</f>
        <v>48.335413243757579</v>
      </c>
      <c r="AE50">
        <f t="shared" si="14"/>
        <v>14.8</v>
      </c>
      <c r="AF50" s="3">
        <f t="shared" si="19"/>
        <v>1716.8738784182694</v>
      </c>
      <c r="AG50">
        <f t="shared" si="15"/>
        <v>0</v>
      </c>
    </row>
    <row r="51" spans="1:33" ht="18">
      <c r="A51" t="s">
        <v>331</v>
      </c>
      <c r="B51">
        <v>6</v>
      </c>
      <c r="C51">
        <v>1</v>
      </c>
      <c r="D51">
        <f t="shared" si="20"/>
        <v>3.9787961145802351</v>
      </c>
      <c r="F51" s="2">
        <f>IF(D51&gt;0,D51*Agriculture!$D$2+Agriculture!$E$16*E51,IF(E51&gt;0,0,Agriculture!$D$2*0.025))</f>
        <v>3978796.114580235</v>
      </c>
      <c r="G51" s="2">
        <f>L51*1/Agriculture!$C$49*Agriculture!$E$16</f>
        <v>0</v>
      </c>
      <c r="H51" t="s">
        <v>382</v>
      </c>
      <c r="I51" s="60">
        <v>22422</v>
      </c>
      <c r="J51" s="60">
        <v>13700</v>
      </c>
      <c r="K51" s="48">
        <f>IF(I51&gt;0,I51,J51/2000*Conversion!$D$23)</f>
        <v>22422</v>
      </c>
      <c r="L51" s="60"/>
      <c r="M51" s="60">
        <v>150</v>
      </c>
      <c r="N51" s="60"/>
      <c r="O51" s="59">
        <v>1.28</v>
      </c>
      <c r="P51" s="59">
        <v>0.1</v>
      </c>
      <c r="R51" s="59">
        <v>5.8</v>
      </c>
      <c r="S51" s="59">
        <v>635</v>
      </c>
      <c r="T51" s="60">
        <f t="shared" si="16"/>
        <v>292.2</v>
      </c>
      <c r="U51" s="60"/>
      <c r="V51">
        <v>0.31</v>
      </c>
      <c r="X51">
        <f t="shared" si="17"/>
        <v>2.4000000000000004</v>
      </c>
      <c r="Y51" s="2">
        <v>0.1</v>
      </c>
      <c r="Z51" s="2">
        <f>IF(K51&gt;0,F51/K51/X51*Conversion!$E$18,0)*Y51</f>
        <v>73937.726982803986</v>
      </c>
      <c r="AA51" s="2">
        <f>IF(L51&gt;0,G51/L51/X51*Conversion!$E$18,0)*Y51</f>
        <v>0</v>
      </c>
      <c r="AB51" s="2">
        <f t="shared" si="18"/>
        <v>22920.695364669235</v>
      </c>
      <c r="AC51" s="2">
        <f>(F51*T51)/365.26/Agriculture!$D$2</f>
        <v>3.182949747249479</v>
      </c>
      <c r="AD51" s="3">
        <f>SUM(Z51:AA51)*Conversion!$F$19</f>
        <v>18.270751714720692</v>
      </c>
      <c r="AE51">
        <f t="shared" si="14"/>
        <v>14.8</v>
      </c>
      <c r="AF51" s="3">
        <f t="shared" si="19"/>
        <v>648.97710090687917</v>
      </c>
      <c r="AG51">
        <f t="shared" si="15"/>
        <v>0</v>
      </c>
    </row>
    <row r="52" spans="1:33" ht="18">
      <c r="A52" t="s">
        <v>409</v>
      </c>
      <c r="B52">
        <v>6</v>
      </c>
      <c r="C52">
        <v>1</v>
      </c>
      <c r="D52">
        <f t="shared" si="20"/>
        <v>3.9787961145802351</v>
      </c>
      <c r="F52" s="2">
        <f>IF(D52&gt;0,D52*Agriculture!$D$2+Agriculture!$E$16*E52,IF(E52&gt;0,0,Agriculture!$D$2*0.025))</f>
        <v>3978796.114580235</v>
      </c>
      <c r="G52" s="2">
        <f>L52*1/Agriculture!$C$49*Agriculture!$E$16</f>
        <v>0</v>
      </c>
      <c r="I52" s="60"/>
      <c r="J52" s="60">
        <v>9800</v>
      </c>
      <c r="K52" s="48">
        <f>IF(I52&gt;0,I52,J52/2000*Conversion!$D$23)</f>
        <v>10984.341319000001</v>
      </c>
      <c r="L52" s="60"/>
      <c r="M52" s="60">
        <v>150</v>
      </c>
      <c r="N52" s="60"/>
      <c r="O52" s="59"/>
      <c r="P52" s="59"/>
      <c r="Q52" s="59"/>
      <c r="R52" s="59"/>
      <c r="S52" s="60"/>
      <c r="T52" s="60">
        <f t="shared" si="16"/>
        <v>0</v>
      </c>
      <c r="U52" s="60"/>
      <c r="V52">
        <v>0.31</v>
      </c>
      <c r="X52">
        <f t="shared" si="17"/>
        <v>2.4000000000000004</v>
      </c>
      <c r="Y52" s="2">
        <v>0.1</v>
      </c>
      <c r="Z52" s="2">
        <f>IF(K52&gt;0,F52/K52/X52*Conversion!$E$18,0)*Y52</f>
        <v>150926.82085004236</v>
      </c>
      <c r="AA52" s="2">
        <f>IF(L52&gt;0,G52/L52/X52*Conversion!$E$18,0)*Y52</f>
        <v>0</v>
      </c>
      <c r="AB52" s="2">
        <f t="shared" si="18"/>
        <v>46787.314463513132</v>
      </c>
      <c r="AC52" s="2">
        <f>(F52*T52)/365.26/Agriculture!$D$2</f>
        <v>0</v>
      </c>
      <c r="AD52" s="3">
        <f>SUM(Z52:AA52)*Conversion!$F$19</f>
        <v>37.295526700253966</v>
      </c>
      <c r="AE52">
        <f t="shared" si="14"/>
        <v>14.8</v>
      </c>
      <c r="AF52" s="3">
        <f t="shared" si="19"/>
        <v>1324.7371083930211</v>
      </c>
      <c r="AG52">
        <f t="shared" si="15"/>
        <v>0</v>
      </c>
    </row>
    <row r="53" spans="1:33" ht="18">
      <c r="A53" t="s">
        <v>399</v>
      </c>
      <c r="B53">
        <v>6</v>
      </c>
      <c r="C53">
        <v>2</v>
      </c>
      <c r="D53">
        <f t="shared" si="20"/>
        <v>7.9575922291604702</v>
      </c>
      <c r="F53" s="2">
        <f>IF(D53&gt;0,D53*Agriculture!$D$2+Agriculture!$E$16*E53,IF(E53&gt;0,0,Agriculture!$D$2*0.025))</f>
        <v>7957592.22916047</v>
      </c>
      <c r="G53" s="2">
        <f>L53*1/Agriculture!$C$49*Agriculture!$E$16</f>
        <v>0</v>
      </c>
      <c r="I53" s="60"/>
      <c r="J53" s="60">
        <v>19400</v>
      </c>
      <c r="K53" s="48">
        <f>IF(I53&gt;0,I53,J53/2000*Conversion!$D$23)</f>
        <v>21744.512406999998</v>
      </c>
      <c r="L53" s="60"/>
      <c r="M53" s="60">
        <v>150</v>
      </c>
      <c r="N53" s="60"/>
      <c r="O53" s="59"/>
      <c r="P53" s="59"/>
      <c r="Q53" s="59"/>
      <c r="R53" s="59"/>
      <c r="S53" s="60"/>
      <c r="T53" s="60">
        <f t="shared" si="16"/>
        <v>0</v>
      </c>
      <c r="U53" s="60"/>
      <c r="V53">
        <v>0.31</v>
      </c>
      <c r="X53">
        <f t="shared" si="17"/>
        <v>2.4000000000000004</v>
      </c>
      <c r="Y53" s="2">
        <v>0.1</v>
      </c>
      <c r="Z53" s="2">
        <f>IF(K53&gt;0,F53/K53/X53*Conversion!$E$18,0)*Y53</f>
        <v>152482.76745674384</v>
      </c>
      <c r="AA53" s="2">
        <f>IF(L53&gt;0,G53/L53/X53*Conversion!$E$18,0)*Y53</f>
        <v>0</v>
      </c>
      <c r="AB53" s="2">
        <f t="shared" si="18"/>
        <v>47269.657911590592</v>
      </c>
      <c r="AC53" s="2">
        <f>(F53*T53)/365.26/Agriculture!$D$2</f>
        <v>0</v>
      </c>
      <c r="AD53" s="3">
        <f>SUM(Z53:AA53)*Conversion!$F$19</f>
        <v>37.680016666235964</v>
      </c>
      <c r="AE53">
        <f t="shared" si="14"/>
        <v>14.8</v>
      </c>
      <c r="AF53" s="3">
        <f t="shared" si="19"/>
        <v>1338.3941919847018</v>
      </c>
      <c r="AG53">
        <f t="shared" si="15"/>
        <v>0</v>
      </c>
    </row>
    <row r="54" spans="1:33" ht="18">
      <c r="A54" t="s">
        <v>404</v>
      </c>
      <c r="B54">
        <v>6</v>
      </c>
      <c r="C54">
        <v>1</v>
      </c>
      <c r="D54">
        <f t="shared" si="20"/>
        <v>3.9787961145802351</v>
      </c>
      <c r="F54" s="2">
        <f>IF(D54&gt;0,D54*Agriculture!$D$2+Agriculture!$E$16*E54,IF(E54&gt;0,0,Agriculture!$D$2*0.025))</f>
        <v>3978796.114580235</v>
      </c>
      <c r="G54" s="2">
        <f>L54*1/Agriculture!$C$49*Agriculture!$E$16</f>
        <v>0</v>
      </c>
      <c r="I54" s="60"/>
      <c r="J54" s="60">
        <v>10800</v>
      </c>
      <c r="K54" s="48">
        <f>IF(I54&gt;0,I54,J54/2000*Conversion!$D$23)</f>
        <v>12105.192474000001</v>
      </c>
      <c r="L54" s="60"/>
      <c r="M54" s="60">
        <v>150</v>
      </c>
      <c r="N54" s="60"/>
      <c r="O54" s="59"/>
      <c r="P54" s="59"/>
      <c r="Q54" s="59"/>
      <c r="R54" s="59"/>
      <c r="S54" s="60"/>
      <c r="T54" s="60">
        <f t="shared" si="16"/>
        <v>0</v>
      </c>
      <c r="U54" s="60"/>
      <c r="V54">
        <v>0.31</v>
      </c>
      <c r="X54">
        <f t="shared" si="17"/>
        <v>2.4000000000000004</v>
      </c>
      <c r="Y54" s="2">
        <v>0.1</v>
      </c>
      <c r="Z54" s="2">
        <f>IF(K54&gt;0,F54/K54/X54*Conversion!$E$18,0)*Y54</f>
        <v>136952.11521577914</v>
      </c>
      <c r="AA54" s="2">
        <f>IF(L54&gt;0,G54/L54/X54*Conversion!$E$18,0)*Y54</f>
        <v>0</v>
      </c>
      <c r="AB54" s="2">
        <f t="shared" si="18"/>
        <v>42455.155716891531</v>
      </c>
      <c r="AC54" s="2">
        <f>(F54*T54)/365.26/Agriculture!$D$2</f>
        <v>0</v>
      </c>
      <c r="AD54" s="3">
        <f>SUM(Z54:AA54)*Conversion!$F$19</f>
        <v>33.842237190971183</v>
      </c>
      <c r="AE54">
        <f t="shared" si="14"/>
        <v>14.8</v>
      </c>
      <c r="AF54" s="3">
        <f t="shared" si="19"/>
        <v>1202.0762650232966</v>
      </c>
      <c r="AG54">
        <f t="shared" si="15"/>
        <v>0</v>
      </c>
    </row>
    <row r="55" spans="1:33" ht="18">
      <c r="A55" t="s">
        <v>401</v>
      </c>
      <c r="B55">
        <v>6</v>
      </c>
      <c r="C55">
        <v>2</v>
      </c>
      <c r="D55">
        <f t="shared" si="20"/>
        <v>7.9575922291604702</v>
      </c>
      <c r="F55" s="2">
        <f>IF(D55&gt;0,D55*Agriculture!$D$2+Agriculture!$E$16*E55,IF(E55&gt;0,0,Agriculture!$D$2*0.025))</f>
        <v>7957592.22916047</v>
      </c>
      <c r="G55" s="2">
        <f>L55*1/Agriculture!$C$49*Agriculture!$E$16</f>
        <v>0</v>
      </c>
      <c r="I55" s="60"/>
      <c r="J55" s="60">
        <v>32000</v>
      </c>
      <c r="K55" s="48">
        <f>IF(I55&gt;0,I55,J55/2000*Conversion!$D$23)</f>
        <v>35867.236960000002</v>
      </c>
      <c r="L55" s="60"/>
      <c r="M55" s="60"/>
      <c r="N55" s="60"/>
      <c r="O55" s="59"/>
      <c r="P55" s="59"/>
      <c r="Q55" s="59"/>
      <c r="R55" s="59"/>
      <c r="S55" s="60"/>
      <c r="T55" s="60">
        <f t="shared" si="16"/>
        <v>0</v>
      </c>
      <c r="U55" s="60"/>
      <c r="V55">
        <v>0.31</v>
      </c>
      <c r="X55">
        <f t="shared" si="17"/>
        <v>1</v>
      </c>
      <c r="Y55" s="2">
        <v>0.1</v>
      </c>
      <c r="Z55" s="2">
        <f>IF(K55&gt;0,F55/K55/X55*Conversion!$E$18,0)*Y55</f>
        <v>221862.42664956229</v>
      </c>
      <c r="AA55" s="2">
        <f>IF(L55&gt;0,G55/L55/X55*Conversion!$E$18,0)*Y55</f>
        <v>0</v>
      </c>
      <c r="AB55" s="2">
        <f t="shared" si="18"/>
        <v>68777.352261364314</v>
      </c>
      <c r="AC55" s="2">
        <f>(F55*T55)/365.26/Agriculture!$D$2</f>
        <v>0</v>
      </c>
      <c r="AD55" s="3">
        <f>SUM(Z55:AA55)*Conversion!$F$19</f>
        <v>54.82442424937333</v>
      </c>
      <c r="AE55">
        <f t="shared" si="14"/>
        <v>14.8</v>
      </c>
      <c r="AF55" s="3">
        <f t="shared" si="19"/>
        <v>811.40147889072534</v>
      </c>
      <c r="AG55">
        <f t="shared" si="15"/>
        <v>0</v>
      </c>
    </row>
    <row r="56" spans="1:33" ht="18">
      <c r="A56" t="s">
        <v>389</v>
      </c>
      <c r="B56">
        <v>6</v>
      </c>
      <c r="C56">
        <v>1</v>
      </c>
      <c r="D56">
        <f t="shared" si="20"/>
        <v>3.9787961145802351</v>
      </c>
      <c r="F56" s="2">
        <f>IF(D56&gt;0,D56*Agriculture!$D$2+Agriculture!$E$16*E56,IF(E56&gt;0,0,Agriculture!$D$2*0.025))</f>
        <v>3978796.114580235</v>
      </c>
      <c r="G56" s="2">
        <f>L56*1/Agriculture!$C$49*Agriculture!$E$16</f>
        <v>0</v>
      </c>
      <c r="I56" s="60"/>
      <c r="J56" s="60">
        <v>6660</v>
      </c>
      <c r="K56" s="48">
        <f>IF(I56&gt;0,I56,J56/2000*Conversion!$D$23)</f>
        <v>7464.8686923000005</v>
      </c>
      <c r="L56" s="60"/>
      <c r="M56" s="60"/>
      <c r="N56" s="60">
        <v>1</v>
      </c>
      <c r="O56" s="59"/>
      <c r="P56" s="59"/>
      <c r="Q56" s="59"/>
      <c r="R56" s="59"/>
      <c r="S56" s="60"/>
      <c r="T56" s="60">
        <f t="shared" si="16"/>
        <v>0</v>
      </c>
      <c r="U56" s="60">
        <v>6</v>
      </c>
      <c r="X56">
        <f t="shared" si="17"/>
        <v>1</v>
      </c>
      <c r="Y56" s="2">
        <v>1</v>
      </c>
      <c r="Z56" s="2">
        <f>IF(K56&gt;0,F56/K56/X56*Conversion!$E$18,0)*Y56</f>
        <v>5330028.2678573523</v>
      </c>
      <c r="AA56" s="2">
        <f>IF(L56&gt;0,G56/L56/X56*Conversion!$E$18,0)*Y56</f>
        <v>0</v>
      </c>
      <c r="AB56" s="2">
        <f t="shared" si="18"/>
        <v>5330028.2678573523</v>
      </c>
      <c r="AC56" s="2">
        <f>(F56*T56)/365.26/Agriculture!$D$2</f>
        <v>0</v>
      </c>
      <c r="AD56" s="3">
        <f>SUM(Z56:AA56)*Conversion!$F$19</f>
        <v>1317.1032852702303</v>
      </c>
      <c r="AE56">
        <f t="shared" si="14"/>
        <v>14.8</v>
      </c>
      <c r="AF56" s="3">
        <f t="shared" si="19"/>
        <v>19493.128621999411</v>
      </c>
      <c r="AG56">
        <f t="shared" si="15"/>
        <v>5330028.2678573523</v>
      </c>
    </row>
    <row r="57" spans="1:33" ht="18">
      <c r="A57" t="s">
        <v>411</v>
      </c>
      <c r="B57">
        <v>6</v>
      </c>
      <c r="C57">
        <v>2</v>
      </c>
      <c r="D57">
        <f t="shared" si="20"/>
        <v>7.9575922291604702</v>
      </c>
      <c r="F57" s="2">
        <f>IF(D57&gt;0,D57*Agriculture!$D$2+Agriculture!$E$16*E57,IF(E57&gt;0,0,Agriculture!$D$2*0.025))</f>
        <v>7957592.22916047</v>
      </c>
      <c r="G57" s="2">
        <f>L57*1/Agriculture!$C$49*Agriculture!$E$16</f>
        <v>0</v>
      </c>
      <c r="J57">
        <v>8400</v>
      </c>
      <c r="K57" s="48">
        <f>IF(I57&gt;0,I57,J57/2000*Conversion!$D$23)</f>
        <v>9415.1497020000006</v>
      </c>
      <c r="M57">
        <v>150</v>
      </c>
      <c r="T57" s="60">
        <f t="shared" si="16"/>
        <v>0</v>
      </c>
      <c r="U57" s="60"/>
      <c r="V57">
        <v>0.31</v>
      </c>
      <c r="X57">
        <f t="shared" si="17"/>
        <v>2.4000000000000004</v>
      </c>
      <c r="Y57" s="2">
        <v>0.1</v>
      </c>
      <c r="Z57" s="2">
        <f>IF(K57&gt;0,F57/K57/X57*Conversion!$E$18,0)*Y57</f>
        <v>352162.58198343217</v>
      </c>
      <c r="AA57" s="2">
        <f>IF(L57&gt;0,G57/L57/X57*Conversion!$E$18,0)*Y57</f>
        <v>0</v>
      </c>
      <c r="AB57" s="2">
        <f t="shared" si="18"/>
        <v>109170.40041486398</v>
      </c>
      <c r="AC57" s="2">
        <f>(F57*T57)/365.26/Agriculture!$D$2</f>
        <v>0</v>
      </c>
      <c r="AD57" s="3">
        <f>SUM(Z57:AA57)*Conversion!$F$19</f>
        <v>87.022895633925913</v>
      </c>
      <c r="AE57">
        <f t="shared" si="14"/>
        <v>14.8</v>
      </c>
      <c r="AF57" s="3">
        <f t="shared" si="19"/>
        <v>3091.0532529170491</v>
      </c>
      <c r="AG57">
        <f t="shared" si="15"/>
        <v>0</v>
      </c>
    </row>
    <row r="58" spans="1:33" ht="18">
      <c r="A58" t="s">
        <v>390</v>
      </c>
      <c r="B58">
        <v>6</v>
      </c>
      <c r="C58">
        <v>0</v>
      </c>
      <c r="D58">
        <f t="shared" si="20"/>
        <v>0</v>
      </c>
      <c r="F58" s="2">
        <f>IF(D58&gt;0,D58*Agriculture!$D$2+Agriculture!$E$16*E58,IF(E58&gt;0,0,Agriculture!$D$2*0.025))</f>
        <v>25000</v>
      </c>
      <c r="G58" s="2">
        <f>L58*1/Agriculture!$C$49*Agriculture!$E$16</f>
        <v>0</v>
      </c>
      <c r="J58">
        <v>9420</v>
      </c>
      <c r="K58" s="48">
        <f>IF(I58&gt;0,I58,J58/2000*Conversion!$D$23)</f>
        <v>10558.4178801</v>
      </c>
      <c r="T58" s="60">
        <f t="shared" si="16"/>
        <v>0</v>
      </c>
      <c r="U58" s="60"/>
      <c r="X58">
        <f t="shared" si="17"/>
        <v>1</v>
      </c>
      <c r="Y58" s="2">
        <v>1</v>
      </c>
      <c r="Z58" s="2">
        <f>IF(K58&gt;0,F58/K58/X58*Conversion!$E$18,0)*Y58</f>
        <v>23677.78987713567</v>
      </c>
      <c r="AA58" s="2">
        <f>IF(L58&gt;0,G58/L58/X58*Conversion!$E$18,0)*Y58</f>
        <v>0</v>
      </c>
      <c r="AB58" s="2">
        <f t="shared" si="18"/>
        <v>23677.78987713567</v>
      </c>
      <c r="AC58" s="2">
        <f>(F58*T58)/365.26/Agriculture!$D$2</f>
        <v>0</v>
      </c>
      <c r="AD58" s="3">
        <f>SUM(Z58:AA58)*Conversion!$F$19</f>
        <v>5.8510186565389954</v>
      </c>
      <c r="AE58">
        <f t="shared" si="14"/>
        <v>14.8</v>
      </c>
      <c r="AF58" s="3">
        <f t="shared" si="19"/>
        <v>86.595076116777136</v>
      </c>
      <c r="AG58">
        <f t="shared" si="15"/>
        <v>0</v>
      </c>
    </row>
    <row r="59" spans="1:33" ht="18">
      <c r="A59" t="s">
        <v>391</v>
      </c>
      <c r="B59">
        <v>6</v>
      </c>
      <c r="C59">
        <v>0</v>
      </c>
      <c r="D59">
        <f t="shared" si="20"/>
        <v>0</v>
      </c>
      <c r="F59" s="2">
        <f>IF(D59&gt;0,D59*Agriculture!$D$2+Agriculture!$E$16*E59,IF(E59&gt;0,0,Agriculture!$D$2*0.025))</f>
        <v>25000</v>
      </c>
      <c r="G59" s="2">
        <f>L59*1/Agriculture!$C$49*Agriculture!$E$16</f>
        <v>0</v>
      </c>
      <c r="I59" s="60"/>
      <c r="J59" s="60">
        <v>4620</v>
      </c>
      <c r="K59" s="48">
        <f>IF(I59&gt;0,I59,J59/2000*Conversion!$D$23)</f>
        <v>5178.3323361000002</v>
      </c>
      <c r="L59" s="60"/>
      <c r="M59" s="60"/>
      <c r="N59" s="60">
        <v>1</v>
      </c>
      <c r="O59" s="59"/>
      <c r="P59" s="59"/>
      <c r="Q59" s="59"/>
      <c r="R59" s="59"/>
      <c r="S59" s="59"/>
      <c r="T59" s="60">
        <f t="shared" si="16"/>
        <v>0</v>
      </c>
      <c r="U59" s="60"/>
      <c r="X59">
        <f t="shared" si="17"/>
        <v>1</v>
      </c>
      <c r="Y59" s="2">
        <v>1</v>
      </c>
      <c r="Z59" s="2">
        <f>IF(K59&gt;0,F59/K59/X59*Conversion!$E$18,0)*Y59</f>
        <v>48278.091048185706</v>
      </c>
      <c r="AA59" s="2">
        <f>IF(L59&gt;0,G59/L59/X59*Conversion!$E$18,0)*Y59</f>
        <v>0</v>
      </c>
      <c r="AB59" s="2">
        <f t="shared" si="18"/>
        <v>48278.091048185706</v>
      </c>
      <c r="AC59" s="2">
        <f>(F59*T59)/365.26/Agriculture!$D$2</f>
        <v>0</v>
      </c>
      <c r="AD59" s="3">
        <f>SUM(Z59:AA59)*Conversion!$F$19</f>
        <v>11.929999078917168</v>
      </c>
      <c r="AE59">
        <f t="shared" si="14"/>
        <v>14.8</v>
      </c>
      <c r="AF59" s="3">
        <f t="shared" si="19"/>
        <v>176.56398636797411</v>
      </c>
      <c r="AG59">
        <f t="shared" si="15"/>
        <v>0</v>
      </c>
    </row>
    <row r="60" spans="1:33" ht="18">
      <c r="A60" t="s">
        <v>100</v>
      </c>
      <c r="B60">
        <v>6</v>
      </c>
      <c r="C60">
        <v>1</v>
      </c>
      <c r="D60">
        <f t="shared" si="20"/>
        <v>3.9787961145802351</v>
      </c>
      <c r="F60" s="2">
        <f>IF(D60&gt;0,D60*Agriculture!$D$2+Agriculture!$E$16*E60,IF(E60&gt;0,0,Agriculture!$D$2*0.025))</f>
        <v>3978796.114580235</v>
      </c>
      <c r="G60" s="2">
        <f>L60*1/Agriculture!$C$49*Agriculture!$E$16</f>
        <v>0</v>
      </c>
      <c r="I60">
        <v>4000</v>
      </c>
      <c r="K60" s="48">
        <f>IF(I60&gt;0,I60,J60/2000*Conversion!$D$23)</f>
        <v>4000</v>
      </c>
      <c r="T60" s="60">
        <f t="shared" si="16"/>
        <v>0</v>
      </c>
      <c r="U60" s="60"/>
      <c r="V60">
        <v>0.31</v>
      </c>
      <c r="W60">
        <v>1</v>
      </c>
      <c r="X60">
        <f t="shared" si="17"/>
        <v>1</v>
      </c>
      <c r="Y60" s="2">
        <v>0.1</v>
      </c>
      <c r="Z60" s="2">
        <f>IF(K60&gt;0,F60/K60/X60*Conversion!$E$18,0)*Y60</f>
        <v>994699.02864505874</v>
      </c>
      <c r="AA60" s="2">
        <f>IF(L60&gt;0,G60/L60/X60*Conversion!$E$18,0)*Y60</f>
        <v>0</v>
      </c>
      <c r="AB60" s="2">
        <f t="shared" si="18"/>
        <v>308356.6988799682</v>
      </c>
      <c r="AC60" s="2">
        <f>(F60*T60)/365.26/Agriculture!$D$2</f>
        <v>0</v>
      </c>
      <c r="AD60" s="3">
        <f>SUM(Z60:AA60)*Conversion!$F$19</f>
        <v>245.80007696848045</v>
      </c>
      <c r="AE60">
        <f t="shared" si="14"/>
        <v>14.8</v>
      </c>
      <c r="AF60" s="3">
        <f t="shared" si="19"/>
        <v>3637.8411391335108</v>
      </c>
      <c r="AG60">
        <f t="shared" si="15"/>
        <v>0</v>
      </c>
    </row>
    <row r="61" spans="1:33" ht="18">
      <c r="A61" t="s">
        <v>109</v>
      </c>
      <c r="B61">
        <v>6</v>
      </c>
      <c r="C61">
        <v>1</v>
      </c>
      <c r="D61">
        <f t="shared" si="20"/>
        <v>3.9787961145802351</v>
      </c>
      <c r="F61" s="2">
        <f>IF(D61&gt;0,D61*Agriculture!$D$2+Agriculture!$E$16*E61,IF(E61&gt;0,0,Agriculture!$D$2*0.025))</f>
        <v>3978796.114580235</v>
      </c>
      <c r="G61" s="2">
        <f>L61*1/Agriculture!$C$49*Agriculture!$E$16</f>
        <v>0</v>
      </c>
      <c r="I61">
        <v>2000</v>
      </c>
      <c r="J61">
        <v>14770</v>
      </c>
      <c r="K61" s="48">
        <f>IF(I61&gt;0,I61,J61/2000*Conversion!$D$23)</f>
        <v>2000</v>
      </c>
      <c r="N61">
        <v>1</v>
      </c>
      <c r="R61" s="59">
        <v>98</v>
      </c>
      <c r="T61" s="60">
        <f t="shared" si="16"/>
        <v>3920</v>
      </c>
      <c r="U61" s="60"/>
      <c r="V61">
        <v>2</v>
      </c>
      <c r="X61">
        <f t="shared" si="17"/>
        <v>1</v>
      </c>
      <c r="Y61" s="2">
        <v>0.5</v>
      </c>
      <c r="Z61" s="2">
        <f>IF(K61&gt;0,F61/K61/X61*Conversion!$E$18,0)*Y61</f>
        <v>9946990.2864505872</v>
      </c>
      <c r="AA61" s="2">
        <f>IF(L61&gt;0,G61/L61/X61*Conversion!$E$18,0)*Y61</f>
        <v>0</v>
      </c>
      <c r="AB61" s="2">
        <f t="shared" si="18"/>
        <v>19893980.572901174</v>
      </c>
      <c r="AC61" s="2">
        <f>(F61*T61)/365.26/Agriculture!$D$2</f>
        <v>42.700763207453655</v>
      </c>
      <c r="AD61" s="3">
        <f>SUM(Z61:AA61)*Conversion!$F$19</f>
        <v>2458.0007696848043</v>
      </c>
      <c r="AE61">
        <f t="shared" si="14"/>
        <v>14.8</v>
      </c>
      <c r="AF61" s="3">
        <f t="shared" si="19"/>
        <v>36378.411391335103</v>
      </c>
      <c r="AG61">
        <f t="shared" si="15"/>
        <v>0</v>
      </c>
    </row>
    <row r="62" spans="1:33" ht="18">
      <c r="A62" t="s">
        <v>392</v>
      </c>
      <c r="B62">
        <v>6</v>
      </c>
      <c r="C62">
        <v>0</v>
      </c>
      <c r="D62">
        <f t="shared" si="20"/>
        <v>0</v>
      </c>
      <c r="F62" s="2">
        <f>IF(D62&gt;0,D62*Agriculture!$D$2+Agriculture!$E$16*E62,IF(E62&gt;0,0,Agriculture!$D$2*0.025))</f>
        <v>25000</v>
      </c>
      <c r="G62" s="2">
        <f>L62*1/Agriculture!$C$49*Agriculture!$E$16</f>
        <v>0</v>
      </c>
      <c r="I62" s="60"/>
      <c r="J62" s="60">
        <v>7860</v>
      </c>
      <c r="K62" s="48">
        <f>IF(I62&gt;0,I62,J62/2000*Conversion!$D$23)</f>
        <v>8809.8900783000008</v>
      </c>
      <c r="L62" s="60"/>
      <c r="M62" s="60"/>
      <c r="N62" s="60">
        <v>1</v>
      </c>
      <c r="O62" s="59"/>
      <c r="P62" s="59"/>
      <c r="Q62" s="59"/>
      <c r="R62" s="59"/>
      <c r="S62" s="59"/>
      <c r="T62" s="60">
        <f t="shared" si="16"/>
        <v>0</v>
      </c>
      <c r="U62" s="60"/>
      <c r="X62">
        <f t="shared" si="17"/>
        <v>1</v>
      </c>
      <c r="Y62" s="2">
        <v>0.1</v>
      </c>
      <c r="Z62" s="2">
        <f>IF(K62&gt;0,F62/K62/X62*Conversion!$E$18,0)*Y62</f>
        <v>2837.7198555040454</v>
      </c>
      <c r="AA62" s="2">
        <f>IF(L62&gt;0,G62/L62/X62*Conversion!$E$18,0)*Y62</f>
        <v>0</v>
      </c>
      <c r="AB62" s="2">
        <f t="shared" si="18"/>
        <v>2837.7198555040454</v>
      </c>
      <c r="AC62" s="2">
        <f>(F62*T62)/365.26/Agriculture!$D$2</f>
        <v>0</v>
      </c>
      <c r="AD62" s="3">
        <f>SUM(Z62:AA62)*Conversion!$F$19</f>
        <v>0.70122895349360459</v>
      </c>
      <c r="AE62">
        <f t="shared" si="14"/>
        <v>14.8</v>
      </c>
      <c r="AF62" s="3">
        <f t="shared" si="19"/>
        <v>10.378188511705348</v>
      </c>
      <c r="AG62">
        <f t="shared" si="15"/>
        <v>0</v>
      </c>
    </row>
    <row r="63" spans="1:33" ht="18">
      <c r="A63" t="s">
        <v>426</v>
      </c>
      <c r="B63">
        <v>6</v>
      </c>
      <c r="C63">
        <v>1</v>
      </c>
      <c r="D63">
        <f t="shared" si="20"/>
        <v>3.9787961145802351</v>
      </c>
      <c r="F63" s="2">
        <f>IF(D63&gt;0,D63*Agriculture!$D$2+Agriculture!$E$16*E63,IF(E63&gt;0,0,Agriculture!$D$2*0.025))</f>
        <v>3978796.114580235</v>
      </c>
      <c r="G63" s="2">
        <f>L63*1/Agriculture!$C$49*Agriculture!$E$16</f>
        <v>0</v>
      </c>
      <c r="I63" s="60"/>
      <c r="J63" s="60"/>
      <c r="K63" s="60">
        <f>320*50</f>
        <v>16000</v>
      </c>
      <c r="M63" s="60"/>
      <c r="N63" s="60"/>
      <c r="O63" s="59"/>
      <c r="P63" s="59"/>
      <c r="Q63" s="59"/>
      <c r="R63" s="59"/>
      <c r="S63" s="59"/>
      <c r="T63" s="60">
        <f t="shared" si="16"/>
        <v>0</v>
      </c>
      <c r="U63" s="60">
        <v>6</v>
      </c>
      <c r="X63">
        <f t="shared" si="17"/>
        <v>1</v>
      </c>
      <c r="Y63" s="2">
        <v>1</v>
      </c>
      <c r="Z63" s="2">
        <f>IF(K63&gt;0,F63/K63/X63*Conversion!$E$18,0)*Y63</f>
        <v>2486747.5716126468</v>
      </c>
      <c r="AA63" s="2">
        <f>IF(L63&gt;0,G63/L63/X63*Conversion!$E$18,0)*Y63</f>
        <v>0</v>
      </c>
      <c r="AB63" s="2">
        <f t="shared" si="18"/>
        <v>2486747.5716126468</v>
      </c>
      <c r="AC63" s="2">
        <f>(F63*T63)/365.26/Agriculture!$D$2</f>
        <v>0</v>
      </c>
      <c r="AD63" s="3">
        <f>SUM(Z63:AA63)*Conversion!$F$19</f>
        <v>614.50019242120106</v>
      </c>
      <c r="AE63">
        <f t="shared" si="14"/>
        <v>14.8</v>
      </c>
      <c r="AF63" s="3">
        <f t="shared" si="19"/>
        <v>9094.6028478337757</v>
      </c>
      <c r="AG63">
        <f t="shared" si="15"/>
        <v>2486747.5716126468</v>
      </c>
    </row>
    <row r="64" spans="1:33" ht="18">
      <c r="A64" t="s">
        <v>403</v>
      </c>
      <c r="B64">
        <v>6</v>
      </c>
      <c r="C64">
        <v>2</v>
      </c>
      <c r="D64">
        <f t="shared" si="20"/>
        <v>7.9575922291604702</v>
      </c>
      <c r="F64" s="2">
        <f>IF(D64&gt;0,D64*Agriculture!$D$2+Agriculture!$E$16*E64,IF(E64&gt;0,0,Agriculture!$D$2*0.025))</f>
        <v>7957592.22916047</v>
      </c>
      <c r="G64" s="2">
        <f>L64*1/Agriculture!$C$49*Agriculture!$E$16</f>
        <v>0</v>
      </c>
      <c r="I64" s="59"/>
      <c r="J64" s="59">
        <v>9100</v>
      </c>
      <c r="K64" s="48">
        <f>IF(I64&gt;0,I64,J64/2000*Conversion!$D$23)</f>
        <v>10199.745510500001</v>
      </c>
      <c r="L64" s="59"/>
      <c r="M64" s="59">
        <v>150</v>
      </c>
      <c r="N64" s="59"/>
      <c r="O64" s="59"/>
      <c r="P64" s="59"/>
      <c r="Q64" s="59"/>
      <c r="R64" s="59"/>
      <c r="S64" s="59"/>
      <c r="T64" s="60">
        <f t="shared" si="16"/>
        <v>0</v>
      </c>
      <c r="U64" s="60"/>
      <c r="V64">
        <v>0.31</v>
      </c>
      <c r="X64">
        <f t="shared" si="17"/>
        <v>2.4000000000000004</v>
      </c>
      <c r="Y64" s="2">
        <v>0.1</v>
      </c>
      <c r="Z64" s="2">
        <f>IF(K64&gt;0,F64/K64/X64*Conversion!$E$18,0)*Y64</f>
        <v>325073.15260009118</v>
      </c>
      <c r="AA64" s="2">
        <f>IF(L64&gt;0,G64/L64/X64*Conversion!$E$18,0)*Y64</f>
        <v>0</v>
      </c>
      <c r="AB64" s="2">
        <f t="shared" si="18"/>
        <v>100772.67730602827</v>
      </c>
      <c r="AC64" s="2">
        <f>(F64*T64)/365.26/Agriculture!$D$2</f>
        <v>0</v>
      </c>
      <c r="AD64" s="3">
        <f>SUM(Z64:AA64)*Conversion!$F$19</f>
        <v>80.328826739008534</v>
      </c>
      <c r="AE64">
        <f t="shared" si="14"/>
        <v>14.8</v>
      </c>
      <c r="AF64" s="3">
        <f t="shared" si="19"/>
        <v>2853.2799257695833</v>
      </c>
      <c r="AG64">
        <f t="shared" si="15"/>
        <v>0</v>
      </c>
    </row>
    <row r="65" spans="1:33" ht="18">
      <c r="A65" t="s">
        <v>427</v>
      </c>
      <c r="B65">
        <v>6</v>
      </c>
      <c r="C65">
        <v>1</v>
      </c>
      <c r="D65">
        <f t="shared" si="20"/>
        <v>3.9787961145802351</v>
      </c>
      <c r="F65" s="2">
        <f>IF(D65&gt;0,D65*Agriculture!$D$2+Agriculture!$E$16*E65,IF(E65&gt;0,0,Agriculture!$D$2*0.025))</f>
        <v>3978796.114580235</v>
      </c>
      <c r="G65" s="2">
        <f>L65*1/Agriculture!$C$49*Agriculture!$E$16</f>
        <v>0</v>
      </c>
      <c r="I65" s="60"/>
      <c r="J65" s="60"/>
      <c r="K65" s="60">
        <f>K64</f>
        <v>10199.745510500001</v>
      </c>
      <c r="M65" s="60"/>
      <c r="N65" s="60"/>
      <c r="O65" s="59"/>
      <c r="P65" s="59"/>
      <c r="Q65" s="59"/>
      <c r="R65" s="59"/>
      <c r="S65" s="59"/>
      <c r="T65" s="60">
        <f t="shared" si="16"/>
        <v>0</v>
      </c>
      <c r="U65" s="60">
        <v>6</v>
      </c>
      <c r="X65">
        <f t="shared" si="17"/>
        <v>1</v>
      </c>
      <c r="Y65" s="2">
        <v>1</v>
      </c>
      <c r="Z65" s="2">
        <f>IF(K65&gt;0,F65/K65/X65*Conversion!$E$18,0)*Y65</f>
        <v>3900877.8312010951</v>
      </c>
      <c r="AA65" s="2">
        <f>IF(L65&gt;0,G65/L65/X65*Conversion!$E$18,0)*Y65</f>
        <v>0</v>
      </c>
      <c r="AB65" s="2">
        <f t="shared" si="18"/>
        <v>3900877.8312010951</v>
      </c>
      <c r="AC65" s="2">
        <f>(F65*T65)/365.26/Agriculture!$D$2</f>
        <v>0</v>
      </c>
      <c r="AD65" s="3">
        <f>SUM(Z65:AA65)*Conversion!$F$19</f>
        <v>963.94592086810258</v>
      </c>
      <c r="AE65">
        <f t="shared" si="14"/>
        <v>14.8</v>
      </c>
      <c r="AF65" s="3">
        <f t="shared" si="19"/>
        <v>14266.399628847919</v>
      </c>
      <c r="AG65">
        <f t="shared" si="15"/>
        <v>3900877.8312010951</v>
      </c>
    </row>
    <row r="66" spans="1:33" ht="18">
      <c r="A66" t="s">
        <v>393</v>
      </c>
      <c r="B66">
        <v>6</v>
      </c>
      <c r="C66">
        <v>1</v>
      </c>
      <c r="D66">
        <f t="shared" si="20"/>
        <v>3.9787961145802351</v>
      </c>
      <c r="F66" s="2">
        <f>IF(D66&gt;0,D66*Agriculture!$D$2+Agriculture!$E$16*E66,IF(E66&gt;0,0,Agriculture!$D$2*0.025))</f>
        <v>3978796.114580235</v>
      </c>
      <c r="G66" s="2">
        <f>L66*1/Agriculture!$C$49*Agriculture!$E$16</f>
        <v>0</v>
      </c>
      <c r="J66">
        <v>16080</v>
      </c>
      <c r="K66" s="48">
        <f>IF(I66&gt;0,I66,J66/2000*Conversion!$D$23)</f>
        <v>18023.2865724</v>
      </c>
      <c r="N66">
        <v>1</v>
      </c>
      <c r="O66" s="59"/>
      <c r="P66" s="59"/>
      <c r="Q66" s="59"/>
      <c r="R66" s="59"/>
      <c r="S66" s="59"/>
      <c r="T66" s="60">
        <f t="shared" si="16"/>
        <v>0</v>
      </c>
      <c r="U66" s="60">
        <v>6</v>
      </c>
      <c r="X66">
        <f t="shared" si="17"/>
        <v>1</v>
      </c>
      <c r="Y66" s="2">
        <v>1</v>
      </c>
      <c r="Z66" s="2">
        <f>IF(K66&gt;0,F66/K66/X66*Conversion!$E$18,0)*Y66</f>
        <v>2207586.3348215153</v>
      </c>
      <c r="AA66" s="2">
        <f>IF(L66&gt;0,G66/L66/X66*Conversion!$E$18,0)*Y66</f>
        <v>0</v>
      </c>
      <c r="AB66" s="2">
        <f t="shared" si="18"/>
        <v>2207586.3348215153</v>
      </c>
      <c r="AC66" s="2">
        <f>(F66*T66)/365.26/Agriculture!$D$2</f>
        <v>0</v>
      </c>
      <c r="AD66" s="3">
        <f>SUM(Z66:AA66)*Conversion!$F$19</f>
        <v>545.51665919774462</v>
      </c>
      <c r="AE66">
        <f t="shared" si="14"/>
        <v>14.8</v>
      </c>
      <c r="AF66" s="3">
        <f t="shared" si="19"/>
        <v>8073.6465561266205</v>
      </c>
      <c r="AG66">
        <f t="shared" si="15"/>
        <v>2207586.3348215153</v>
      </c>
    </row>
    <row r="67" spans="1:33" ht="18">
      <c r="A67" t="s">
        <v>400</v>
      </c>
      <c r="B67">
        <v>6</v>
      </c>
      <c r="C67">
        <v>2</v>
      </c>
      <c r="D67">
        <f t="shared" si="20"/>
        <v>7.9575922291604702</v>
      </c>
      <c r="F67" s="2">
        <f>IF(D67&gt;0,D67*Agriculture!$D$2+Agriculture!$E$16*E67,IF(E67&gt;0,0,Agriculture!$D$2*0.025))</f>
        <v>7957592.22916047</v>
      </c>
      <c r="G67" s="2">
        <f>L67*1/Agriculture!$C$49*Agriculture!$E$16</f>
        <v>0</v>
      </c>
      <c r="J67">
        <v>19800</v>
      </c>
      <c r="K67" s="48">
        <f>IF(I67&gt;0,I67,J67/2000*Conversion!$D$23)</f>
        <v>22192.852869000002</v>
      </c>
      <c r="M67">
        <v>30</v>
      </c>
      <c r="O67" s="59"/>
      <c r="P67" s="59"/>
      <c r="Q67" s="59"/>
      <c r="R67" s="59"/>
      <c r="S67" s="59"/>
      <c r="T67" s="60">
        <f t="shared" si="16"/>
        <v>0</v>
      </c>
      <c r="U67" s="60"/>
      <c r="V67">
        <v>0.31</v>
      </c>
      <c r="X67">
        <f t="shared" si="17"/>
        <v>12.100000000000001</v>
      </c>
      <c r="Y67" s="2">
        <v>0.1</v>
      </c>
      <c r="Z67" s="2">
        <f>IF(K67&gt;0,F67/K67/X67*Conversion!$E$18,0)*Y67</f>
        <v>29633.515538801203</v>
      </c>
      <c r="AA67" s="2">
        <f>IF(L67&gt;0,G67/L67/X67*Conversion!$E$18,0)*Y67</f>
        <v>0</v>
      </c>
      <c r="AB67" s="2">
        <f t="shared" si="18"/>
        <v>9186.3898170283719</v>
      </c>
      <c r="AC67" s="2">
        <f>(F67*T67)/365.26/Agriculture!$D$2</f>
        <v>0</v>
      </c>
      <c r="AD67" s="3">
        <f>SUM(Z67:AA67)*Conversion!$F$19</f>
        <v>7.322738024793165</v>
      </c>
      <c r="AE67">
        <f t="shared" si="14"/>
        <v>14.8</v>
      </c>
      <c r="AF67" s="3">
        <f t="shared" si="19"/>
        <v>1311.3559254799602</v>
      </c>
      <c r="AG67">
        <f t="shared" si="15"/>
        <v>0</v>
      </c>
    </row>
    <row r="68" spans="1:33" ht="18">
      <c r="A68" t="s">
        <v>425</v>
      </c>
      <c r="B68">
        <v>6</v>
      </c>
      <c r="C68">
        <v>1</v>
      </c>
      <c r="D68">
        <f t="shared" si="20"/>
        <v>3.9787961145802351</v>
      </c>
      <c r="F68" s="2">
        <f>IF(D68&gt;0,D68*Agriculture!$D$2+Agriculture!$E$16*E68,IF(E68&gt;0,0,Agriculture!$D$2*0.025))</f>
        <v>3978796.114580235</v>
      </c>
      <c r="G68" s="2">
        <f>L68*1/Agriculture!$C$49*Agriculture!$E$16</f>
        <v>0</v>
      </c>
      <c r="K68" s="48">
        <v>40000</v>
      </c>
      <c r="O68" s="59"/>
      <c r="P68" s="59"/>
      <c r="Q68" s="59"/>
      <c r="R68" s="59"/>
      <c r="S68" s="59"/>
      <c r="T68" s="60">
        <f t="shared" si="16"/>
        <v>0</v>
      </c>
      <c r="U68" s="60">
        <v>6</v>
      </c>
      <c r="X68">
        <f t="shared" si="17"/>
        <v>1</v>
      </c>
      <c r="Y68" s="2">
        <v>0.1</v>
      </c>
      <c r="Z68" s="2">
        <f>IF(K68&gt;0,F68/K68/X68*Conversion!$E$18,0)*Y68</f>
        <v>99469.902864505886</v>
      </c>
      <c r="AA68" s="2">
        <f>IF(L68&gt;0,G68/L68/X68*Conversion!$E$18,0)*Y68</f>
        <v>0</v>
      </c>
      <c r="AB68" s="2">
        <f t="shared" si="18"/>
        <v>99469.902864505886</v>
      </c>
      <c r="AC68" s="2">
        <f>(F68*T68)/365.26/Agriculture!$D$2</f>
        <v>0</v>
      </c>
      <c r="AD68" s="3">
        <f>SUM(Z68:AA68)*Conversion!$F$19</f>
        <v>24.58000769684805</v>
      </c>
      <c r="AE68">
        <f t="shared" si="14"/>
        <v>14.8</v>
      </c>
      <c r="AF68" s="3">
        <f t="shared" si="19"/>
        <v>363.78411391335118</v>
      </c>
      <c r="AG68">
        <f t="shared" si="15"/>
        <v>99469.902864505886</v>
      </c>
    </row>
    <row r="69" spans="1:33" ht="18">
      <c r="A69" t="s">
        <v>94</v>
      </c>
      <c r="B69">
        <v>6</v>
      </c>
      <c r="C69">
        <v>0</v>
      </c>
      <c r="D69">
        <f t="shared" si="20"/>
        <v>0</v>
      </c>
      <c r="F69" s="2">
        <f>IF(D69&gt;0,D69*Agriculture!$D$2+Agriculture!$E$16*E69,IF(E69&gt;0,0,Agriculture!$D$2*0.025))</f>
        <v>25000</v>
      </c>
      <c r="G69" s="2">
        <f>L69*1/Agriculture!$C$49*Agriculture!$E$16</f>
        <v>0</v>
      </c>
      <c r="I69">
        <v>40000</v>
      </c>
      <c r="K69" s="48">
        <f>IF(I69&gt;0,I69,J69/2000*Conversion!$D$23)</f>
        <v>40000</v>
      </c>
      <c r="P69">
        <v>1</v>
      </c>
      <c r="Q69">
        <v>1</v>
      </c>
      <c r="R69">
        <v>98</v>
      </c>
      <c r="T69" s="60">
        <f t="shared" si="16"/>
        <v>4100</v>
      </c>
      <c r="U69" s="60"/>
      <c r="V69">
        <v>1</v>
      </c>
      <c r="X69">
        <f t="shared" si="17"/>
        <v>1</v>
      </c>
      <c r="Y69" s="2">
        <v>1</v>
      </c>
      <c r="Z69" s="2">
        <f>IF(K69&gt;0,F69/K69/X69*Conversion!$E$18,0)*Y69</f>
        <v>6250</v>
      </c>
      <c r="AA69" s="2">
        <f>IF(L69&gt;0,G69/L69/X69*Conversion!$E$18,0)*Y69</f>
        <v>0</v>
      </c>
      <c r="AB69" s="2">
        <f t="shared" si="18"/>
        <v>6250</v>
      </c>
      <c r="AC69" s="2">
        <f>(F69*T69)/365.26/Agriculture!$D$2</f>
        <v>0.28062202266878389</v>
      </c>
      <c r="AD69" s="3">
        <f>SUM(Z69:AA69)*Conversion!$F$19</f>
        <v>1.5444374999999999</v>
      </c>
      <c r="AE69">
        <f t="shared" si="14"/>
        <v>14.8</v>
      </c>
      <c r="AF69" s="3">
        <f t="shared" si="19"/>
        <v>22.857675</v>
      </c>
      <c r="AG69">
        <f t="shared" ref="AG69:AG87" si="21">IF(U69&gt;2,SUM(Z69:AA69),0)</f>
        <v>0</v>
      </c>
    </row>
    <row r="70" spans="1:33" ht="18">
      <c r="A70" t="s">
        <v>441</v>
      </c>
      <c r="B70">
        <v>6</v>
      </c>
      <c r="C70">
        <v>0</v>
      </c>
      <c r="D70">
        <f t="shared" si="20"/>
        <v>0</v>
      </c>
      <c r="F70" s="2">
        <f>IF(D70&gt;0,D70*Agriculture!$D$2+Agriculture!$E$16*E70,IF(E70&gt;0,0,Agriculture!$D$2*0.025))</f>
        <v>25000</v>
      </c>
      <c r="G70" s="2">
        <f>L70*1/Agriculture!$C$49*Agriculture!$E$16</f>
        <v>0</v>
      </c>
      <c r="I70">
        <v>1000</v>
      </c>
      <c r="K70" s="48">
        <f>IF(I70&gt;0,I70,J70/2000*Conversion!$D$23)</f>
        <v>1000</v>
      </c>
      <c r="P70">
        <v>18</v>
      </c>
      <c r="Q70">
        <v>2</v>
      </c>
      <c r="R70">
        <v>80</v>
      </c>
      <c r="T70" s="60">
        <f t="shared" si="16"/>
        <v>5000</v>
      </c>
      <c r="U70" s="60"/>
      <c r="V70">
        <v>0.31</v>
      </c>
      <c r="W70">
        <v>1</v>
      </c>
      <c r="X70">
        <f t="shared" si="17"/>
        <v>1</v>
      </c>
      <c r="Y70" s="2">
        <v>0.1</v>
      </c>
      <c r="Z70" s="2">
        <f>IF(K70&gt;0,F70/K70/X70*Conversion!$E$18,0)*Y70</f>
        <v>25000</v>
      </c>
      <c r="AA70" s="2">
        <f>IF(L70&gt;0,G70/L70/X70*Conversion!$E$18,0)*Y70</f>
        <v>0</v>
      </c>
      <c r="AB70" s="2">
        <f t="shared" si="18"/>
        <v>7750</v>
      </c>
      <c r="AC70" s="2">
        <f>(F70*T70)/365.26/Agriculture!$D$2</f>
        <v>0.34222197886437061</v>
      </c>
      <c r="AD70" s="3">
        <f>SUM(Z70:AA70)*Conversion!$F$19</f>
        <v>6.1777499999999996</v>
      </c>
      <c r="AE70">
        <f t="shared" si="14"/>
        <v>14.8</v>
      </c>
      <c r="AF70" s="3">
        <f t="shared" si="19"/>
        <v>91.430700000000002</v>
      </c>
      <c r="AG70">
        <f t="shared" si="21"/>
        <v>0</v>
      </c>
    </row>
    <row r="71" spans="1:33" ht="18">
      <c r="A71" t="s">
        <v>395</v>
      </c>
      <c r="B71">
        <v>6</v>
      </c>
      <c r="C71">
        <v>1</v>
      </c>
      <c r="D71">
        <f t="shared" si="20"/>
        <v>3.9787961145802351</v>
      </c>
      <c r="F71" s="2">
        <f>IF(D71&gt;0,D71*Agriculture!$D$2+Agriculture!$E$16*E71,IF(E71&gt;0,0,Agriculture!$D$2*0.025))</f>
        <v>3978796.114580235</v>
      </c>
      <c r="G71" s="2">
        <f>L71*1/Agriculture!$C$49*Agriculture!$E$16</f>
        <v>0</v>
      </c>
      <c r="J71">
        <v>31400</v>
      </c>
      <c r="K71" s="48">
        <f>IF(I71&gt;0,I71,J71/2000*Conversion!$D$23)</f>
        <v>35194.726266999998</v>
      </c>
      <c r="N71">
        <v>1</v>
      </c>
      <c r="O71" s="59"/>
      <c r="P71" s="59"/>
      <c r="Q71" s="59"/>
      <c r="R71" s="59">
        <v>98</v>
      </c>
      <c r="S71" s="59"/>
      <c r="T71" s="60">
        <f t="shared" si="16"/>
        <v>3920</v>
      </c>
      <c r="U71" s="60">
        <v>6</v>
      </c>
      <c r="X71">
        <f t="shared" si="17"/>
        <v>1</v>
      </c>
      <c r="Y71" s="2">
        <v>1</v>
      </c>
      <c r="Z71" s="2">
        <f>IF(K71&gt;0,F71/K71/X71*Conversion!$E$18,0)*Y71</f>
        <v>1130509.1803799353</v>
      </c>
      <c r="AA71" s="2">
        <f>IF(L71&gt;0,G71/L71/X71*Conversion!$E$18,0)*Y71</f>
        <v>0</v>
      </c>
      <c r="AB71" s="2">
        <f t="shared" si="18"/>
        <v>1130509.1803799353</v>
      </c>
      <c r="AC71" s="2">
        <f>(F71*T71)/365.26/Agriculture!$D$2</f>
        <v>42.700763207453655</v>
      </c>
      <c r="AD71" s="3">
        <f>SUM(Z71:AA71)*Conversion!$F$19</f>
        <v>279.36012356368582</v>
      </c>
      <c r="AE71">
        <f t="shared" si="14"/>
        <v>14.8</v>
      </c>
      <c r="AF71" s="3">
        <f t="shared" si="19"/>
        <v>4134.5298287425503</v>
      </c>
      <c r="AG71">
        <f t="shared" si="21"/>
        <v>1130509.1803799353</v>
      </c>
    </row>
    <row r="72" spans="1:33" ht="18">
      <c r="A72" t="s">
        <v>396</v>
      </c>
      <c r="B72">
        <v>6</v>
      </c>
      <c r="C72">
        <v>1</v>
      </c>
      <c r="D72">
        <f t="shared" si="20"/>
        <v>3.9787961145802351</v>
      </c>
      <c r="F72" s="2">
        <f>IF(D72&gt;0,D72*Agriculture!$D$2+Agriculture!$E$16*E72,IF(E72&gt;0,0,Agriculture!$D$2*0.025))</f>
        <v>3978796.114580235</v>
      </c>
      <c r="G72" s="2">
        <f>L72*1/Agriculture!$C$49*Agriculture!$E$16</f>
        <v>0</v>
      </c>
      <c r="J72">
        <v>28200</v>
      </c>
      <c r="K72" s="48">
        <f>IF(I72&gt;0,I72,J72/2000*Conversion!$D$23)</f>
        <v>31608.002571000001</v>
      </c>
      <c r="N72">
        <v>1</v>
      </c>
      <c r="O72" s="59"/>
      <c r="P72" s="59"/>
      <c r="Q72" s="59"/>
      <c r="R72" s="59">
        <v>89</v>
      </c>
      <c r="S72" s="59"/>
      <c r="T72" s="60">
        <f t="shared" si="16"/>
        <v>3560</v>
      </c>
      <c r="U72" s="60">
        <v>6</v>
      </c>
      <c r="X72">
        <f t="shared" si="17"/>
        <v>1</v>
      </c>
      <c r="Y72" s="2">
        <v>1</v>
      </c>
      <c r="Z72" s="2">
        <f>IF(K72&gt;0,F72/K72/X72*Conversion!$E$18,0)*Y72</f>
        <v>1258793.9100684386</v>
      </c>
      <c r="AA72" s="2">
        <f>IF(L72&gt;0,G72/L72/X72*Conversion!$E$18,0)*Y72</f>
        <v>0</v>
      </c>
      <c r="AB72" s="2">
        <f t="shared" si="18"/>
        <v>1258793.9100684386</v>
      </c>
      <c r="AC72" s="2">
        <f>(F72*T72)/365.26/Agriculture!$D$2</f>
        <v>38.779264545544642</v>
      </c>
      <c r="AD72" s="3">
        <f>SUM(Z72:AA72)*Conversion!$F$19</f>
        <v>311.06056311701184</v>
      </c>
      <c r="AE72">
        <f t="shared" si="14"/>
        <v>14.8</v>
      </c>
      <c r="AF72" s="3">
        <f t="shared" si="19"/>
        <v>4603.6963341317751</v>
      </c>
      <c r="AG72">
        <f t="shared" si="21"/>
        <v>1258793.9100684386</v>
      </c>
    </row>
    <row r="73" spans="1:33" ht="18">
      <c r="A73" t="s">
        <v>405</v>
      </c>
      <c r="B73">
        <v>6</v>
      </c>
      <c r="C73">
        <v>2</v>
      </c>
      <c r="D73">
        <f t="shared" si="20"/>
        <v>7.9575922291604702</v>
      </c>
      <c r="F73" s="2">
        <f>IF(D73&gt;0,D73*Agriculture!$D$2+Agriculture!$E$16*E73,IF(E73&gt;0,0,Agriculture!$D$2*0.025))</f>
        <v>7957592.22916047</v>
      </c>
      <c r="G73" s="2">
        <f>L73*1/Agriculture!$C$49*Agriculture!$E$16</f>
        <v>0</v>
      </c>
      <c r="J73">
        <v>6900</v>
      </c>
      <c r="K73" s="48">
        <f>IF(I73&gt;0,I73,J73/2000*Conversion!$D$23)</f>
        <v>7733.8729695000011</v>
      </c>
      <c r="M73">
        <v>150</v>
      </c>
      <c r="O73" s="59"/>
      <c r="R73" s="59"/>
      <c r="S73" s="59"/>
      <c r="T73" s="60">
        <f t="shared" si="16"/>
        <v>0</v>
      </c>
      <c r="U73" s="60"/>
      <c r="V73">
        <v>0.31</v>
      </c>
      <c r="X73">
        <f t="shared" si="17"/>
        <v>2.4000000000000004</v>
      </c>
      <c r="Y73" s="2">
        <v>0.1</v>
      </c>
      <c r="Z73" s="2">
        <f>IF(K73&gt;0,F73/K73/X73*Conversion!$E$18,0)*Y73</f>
        <v>428719.66502330871</v>
      </c>
      <c r="AA73" s="2">
        <f>IF(L73&gt;0,G73/L73/X73*Conversion!$E$18,0)*Y73</f>
        <v>0</v>
      </c>
      <c r="AB73" s="2">
        <f t="shared" si="18"/>
        <v>132903.09615722569</v>
      </c>
      <c r="AC73" s="2">
        <f>(F73*T73)/365.26/Agriculture!$D$2</f>
        <v>0</v>
      </c>
      <c r="AD73" s="3">
        <f>SUM(Z73:AA73)*Conversion!$F$19</f>
        <v>105.94091642390981</v>
      </c>
      <c r="AE73">
        <f t="shared" si="14"/>
        <v>14.8</v>
      </c>
      <c r="AF73" s="3">
        <f t="shared" si="19"/>
        <v>3763.0213513772774</v>
      </c>
      <c r="AG73">
        <f t="shared" si="21"/>
        <v>0</v>
      </c>
    </row>
    <row r="74" spans="1:33" ht="18">
      <c r="A74" t="s">
        <v>349</v>
      </c>
      <c r="B74">
        <v>6</v>
      </c>
      <c r="C74">
        <v>1</v>
      </c>
      <c r="D74">
        <f t="shared" si="20"/>
        <v>3.9787961145802351</v>
      </c>
      <c r="F74" s="2">
        <f>IF(D74&gt;0,D74*Agriculture!$D$2+Agriculture!$E$16*E74,IF(E74&gt;0,0,Agriculture!$D$2*0.025))</f>
        <v>3978796.114580235</v>
      </c>
      <c r="G74" s="2">
        <f>L74*1/Agriculture!$C$49*Agriculture!$E$16</f>
        <v>0</v>
      </c>
      <c r="H74" t="s">
        <v>382</v>
      </c>
      <c r="I74">
        <v>6368</v>
      </c>
      <c r="K74" s="48">
        <f>IF(I74&gt;0,I74,J74/2000*Conversion!$D$23)</f>
        <v>6368</v>
      </c>
      <c r="N74">
        <v>1</v>
      </c>
      <c r="O74" s="59">
        <v>1.3</v>
      </c>
      <c r="P74" s="59">
        <v>0.37</v>
      </c>
      <c r="Q74" s="59">
        <v>0</v>
      </c>
      <c r="R74" s="59">
        <v>31.98</v>
      </c>
      <c r="S74" s="59">
        <v>842</v>
      </c>
      <c r="T74" s="60">
        <f t="shared" si="16"/>
        <v>1364.5000000000002</v>
      </c>
      <c r="U74" s="60">
        <v>6</v>
      </c>
      <c r="X74">
        <f t="shared" si="17"/>
        <v>1</v>
      </c>
      <c r="Y74" s="2">
        <v>1</v>
      </c>
      <c r="Z74" s="2">
        <f>IF(K74&gt;0,F74/K74/X74*Conversion!$E$18,0)*Y74</f>
        <v>6248109.4764136858</v>
      </c>
      <c r="AA74" s="2">
        <f>IF(L74&gt;0,G74/L74/X74*Conversion!$E$18,0)*Y74</f>
        <v>0</v>
      </c>
      <c r="AB74" s="2">
        <f t="shared" si="18"/>
        <v>6248109.4764136858</v>
      </c>
      <c r="AC74" s="2">
        <f>(F74*T74)/365.26/Agriculture!$D$2</f>
        <v>14.86356923381901</v>
      </c>
      <c r="AD74" s="3">
        <f>SUM(Z74:AA74)*Conversion!$F$19</f>
        <v>1543.9703327165857</v>
      </c>
      <c r="AE74">
        <f t="shared" si="14"/>
        <v>14.8</v>
      </c>
      <c r="AF74" s="3">
        <f t="shared" si="19"/>
        <v>22850.760924205471</v>
      </c>
      <c r="AG74">
        <f t="shared" si="21"/>
        <v>6248109.4764136858</v>
      </c>
    </row>
    <row r="75" spans="1:33" ht="18">
      <c r="A75" t="s">
        <v>397</v>
      </c>
      <c r="B75">
        <v>6</v>
      </c>
      <c r="C75">
        <v>1</v>
      </c>
      <c r="D75">
        <f t="shared" si="20"/>
        <v>3.9787961145802351</v>
      </c>
      <c r="F75" s="2">
        <f>IF(D75&gt;0,D75*Agriculture!$D$2+Agriculture!$E$16*E75,IF(E75&gt;0,0,Agriculture!$D$2*0.025))</f>
        <v>3978796.114580235</v>
      </c>
      <c r="G75" s="2">
        <f>L75*1/Agriculture!$C$49*Agriculture!$E$16</f>
        <v>0</v>
      </c>
      <c r="J75">
        <v>10400</v>
      </c>
      <c r="K75" s="48">
        <f>IF(I75&gt;0,I75,J75/2000*Conversion!$D$23)</f>
        <v>11656.852012000001</v>
      </c>
      <c r="N75">
        <v>1</v>
      </c>
      <c r="O75" s="59"/>
      <c r="P75" s="59"/>
      <c r="Q75" s="59"/>
      <c r="R75" s="59">
        <v>98</v>
      </c>
      <c r="S75" s="59"/>
      <c r="T75" s="60">
        <f t="shared" si="16"/>
        <v>3920</v>
      </c>
      <c r="U75" s="60">
        <v>6</v>
      </c>
      <c r="X75">
        <f t="shared" si="17"/>
        <v>1</v>
      </c>
      <c r="Y75" s="2">
        <v>1</v>
      </c>
      <c r="Z75" s="2">
        <f>IF(K75&gt;0,F75/K75/X75*Conversion!$E$18,0)*Y75</f>
        <v>3413268.1023009582</v>
      </c>
      <c r="AA75" s="2">
        <f>IF(L75&gt;0,G75/L75/X75*Conversion!$E$18,0)*Y75</f>
        <v>0</v>
      </c>
      <c r="AB75" s="2">
        <f t="shared" si="18"/>
        <v>3413268.1023009582</v>
      </c>
      <c r="AC75" s="2">
        <f>(F75*T75)/365.26/Agriculture!$D$2</f>
        <v>42.700763207453655</v>
      </c>
      <c r="AD75" s="3">
        <f>SUM(Z75:AA75)*Conversion!$F$19</f>
        <v>843.45268075958973</v>
      </c>
      <c r="AE75">
        <f t="shared" si="14"/>
        <v>14.8</v>
      </c>
      <c r="AF75" s="3">
        <f t="shared" si="19"/>
        <v>12483.099675241929</v>
      </c>
      <c r="AG75">
        <f t="shared" si="21"/>
        <v>3413268.1023009582</v>
      </c>
    </row>
    <row r="76" spans="1:33" ht="18">
      <c r="A76" t="s">
        <v>365</v>
      </c>
      <c r="B76">
        <v>6</v>
      </c>
      <c r="C76">
        <v>0.1</v>
      </c>
      <c r="D76">
        <f t="shared" si="20"/>
        <v>0.39787961145802353</v>
      </c>
      <c r="F76" s="2">
        <f>IF(D76&gt;0,D76*Agriculture!$D$2+Agriculture!$E$16*E76,IF(E76&gt;0,0,Agriculture!$D$2*0.025))</f>
        <v>397879.61145802354</v>
      </c>
      <c r="G76" s="2">
        <f>L76*1/Agriculture!$C$49*Agriculture!$E$16</f>
        <v>0</v>
      </c>
      <c r="I76">
        <v>42368</v>
      </c>
      <c r="K76" s="48">
        <f>IF(I76&gt;0,I76,J76/2000*Conversion!$D$23)</f>
        <v>42368</v>
      </c>
      <c r="M76">
        <v>150</v>
      </c>
      <c r="O76" s="59">
        <v>1</v>
      </c>
      <c r="P76" s="59">
        <v>0.1</v>
      </c>
      <c r="Q76" s="59">
        <v>0</v>
      </c>
      <c r="R76" s="59">
        <v>6.5</v>
      </c>
      <c r="S76" s="59">
        <v>1270</v>
      </c>
      <c r="T76" s="60">
        <f t="shared" si="16"/>
        <v>309</v>
      </c>
      <c r="U76" s="60"/>
      <c r="V76" s="59">
        <v>0.31</v>
      </c>
      <c r="X76">
        <f t="shared" si="17"/>
        <v>2.4000000000000004</v>
      </c>
      <c r="Y76" s="2">
        <v>0.1</v>
      </c>
      <c r="Z76" s="2">
        <f>IF(K76&gt;0,F76/K76/X76*Conversion!$E$18,0)*Y76</f>
        <v>3912.9336159564555</v>
      </c>
      <c r="AA76" s="2">
        <f>IF(L76&gt;0,G76/L76/X76*Conversion!$E$18,0)*Y76</f>
        <v>0</v>
      </c>
      <c r="AB76" s="2">
        <f t="shared" si="18"/>
        <v>1213.0094209465012</v>
      </c>
      <c r="AC76" s="2">
        <f>(F76*T76)/365.26/Agriculture!$D$2</f>
        <v>0.33659530181385666</v>
      </c>
      <c r="AD76" s="3">
        <f>SUM(Z76:AA76)*Conversion!$F$19</f>
        <v>0.96692502583899964</v>
      </c>
      <c r="AE76">
        <f t="shared" si="14"/>
        <v>14.8</v>
      </c>
      <c r="AF76" s="3">
        <f t="shared" si="19"/>
        <v>34.345176917801275</v>
      </c>
      <c r="AG76">
        <f t="shared" si="21"/>
        <v>0</v>
      </c>
    </row>
    <row r="77" spans="1:33" ht="18">
      <c r="A77" t="s">
        <v>412</v>
      </c>
      <c r="B77">
        <v>6</v>
      </c>
      <c r="C77">
        <v>0.1</v>
      </c>
      <c r="D77">
        <f t="shared" si="20"/>
        <v>0.39787961145802353</v>
      </c>
      <c r="F77" s="2">
        <f>IF(D77&gt;0,D77*Agriculture!$D$2+Agriculture!$E$16*E77,IF(E77&gt;0,0,Agriculture!$D$2*0.025))</f>
        <v>397879.61145802354</v>
      </c>
      <c r="G77" s="2">
        <f>L77*1/Agriculture!$C$49*Agriculture!$E$16</f>
        <v>0</v>
      </c>
      <c r="J77">
        <v>12000</v>
      </c>
      <c r="K77" s="48">
        <f>IF(I77&gt;0,I77,J77/2000*Conversion!$D$23)</f>
        <v>13450.21386</v>
      </c>
      <c r="O77" s="59"/>
      <c r="P77" s="59"/>
      <c r="Q77" s="59"/>
      <c r="R77" s="59"/>
      <c r="S77" s="59"/>
      <c r="T77" s="60">
        <f t="shared" si="16"/>
        <v>0</v>
      </c>
      <c r="U77" s="60"/>
      <c r="V77">
        <v>0.31</v>
      </c>
      <c r="X77">
        <f t="shared" si="17"/>
        <v>1</v>
      </c>
      <c r="Y77" s="2">
        <v>0.1</v>
      </c>
      <c r="Z77" s="2">
        <f>IF(K77&gt;0,F77/K77/X77*Conversion!$E$18,0)*Y77</f>
        <v>29581.656886608311</v>
      </c>
      <c r="AA77" s="2">
        <f>IF(L77&gt;0,G77/L77/X77*Conversion!$E$18,0)*Y77</f>
        <v>0</v>
      </c>
      <c r="AB77" s="2">
        <f t="shared" si="18"/>
        <v>9170.3136348485768</v>
      </c>
      <c r="AC77" s="2">
        <f>(F77*T77)/365.26/Agriculture!$D$2</f>
        <v>0</v>
      </c>
      <c r="AD77" s="3">
        <f>SUM(Z77:AA77)*Conversion!$F$19</f>
        <v>7.309923233249779</v>
      </c>
      <c r="AE77">
        <f t="shared" si="14"/>
        <v>14.8</v>
      </c>
      <c r="AF77" s="3">
        <f t="shared" si="19"/>
        <v>108.18686385209674</v>
      </c>
      <c r="AG77">
        <f t="shared" si="21"/>
        <v>0</v>
      </c>
    </row>
    <row r="78" spans="1:33" ht="18">
      <c r="A78" t="s">
        <v>398</v>
      </c>
      <c r="B78">
        <v>6</v>
      </c>
      <c r="C78">
        <v>1</v>
      </c>
      <c r="D78">
        <f t="shared" si="20"/>
        <v>3.9787961145802351</v>
      </c>
      <c r="F78" s="2">
        <f>IF(D78&gt;0,D78*Agriculture!$D$2+Agriculture!$E$16*E78,IF(E78&gt;0,0,Agriculture!$D$2*0.025))</f>
        <v>3978796.114580235</v>
      </c>
      <c r="G78" s="2">
        <f>L78*1/Agriculture!$C$49*Agriculture!$E$16</f>
        <v>0</v>
      </c>
      <c r="J78">
        <v>11000</v>
      </c>
      <c r="K78" s="48">
        <f>IF(I78&gt;0,I78,J78/2000*Conversion!$D$23)</f>
        <v>12329.362705000001</v>
      </c>
      <c r="M78">
        <v>150</v>
      </c>
      <c r="O78" s="59"/>
      <c r="P78" s="59"/>
      <c r="Q78" s="59"/>
      <c r="R78" s="59"/>
      <c r="S78" s="59"/>
      <c r="T78" s="60">
        <f t="shared" si="16"/>
        <v>0</v>
      </c>
      <c r="U78" s="60"/>
      <c r="V78">
        <v>0.31</v>
      </c>
      <c r="X78">
        <f t="shared" si="17"/>
        <v>2.4000000000000004</v>
      </c>
      <c r="Y78" s="2">
        <v>0.1</v>
      </c>
      <c r="Z78" s="2">
        <f>IF(K78&gt;0,F78/K78/X78*Conversion!$E$18,0)*Y78</f>
        <v>134462.07675731045</v>
      </c>
      <c r="AA78" s="2">
        <f>IF(L78&gt;0,G78/L78/X78*Conversion!$E$18,0)*Y78</f>
        <v>0</v>
      </c>
      <c r="AB78" s="2">
        <f t="shared" si="18"/>
        <v>41683.24379476624</v>
      </c>
      <c r="AC78" s="2">
        <f>(F78*T78)/365.26/Agriculture!$D$2</f>
        <v>0</v>
      </c>
      <c r="AD78" s="3">
        <f>SUM(Z78:AA78)*Conversion!$F$19</f>
        <v>33.226923787498983</v>
      </c>
      <c r="AE78">
        <f t="shared" si="14"/>
        <v>14.8</v>
      </c>
      <c r="AF78" s="3">
        <f t="shared" ref="AF78:AF109" si="22">X78*AD78*AE78</f>
        <v>1180.2203329319641</v>
      </c>
      <c r="AG78">
        <f t="shared" si="21"/>
        <v>0</v>
      </c>
    </row>
    <row r="79" spans="1:33" ht="18">
      <c r="A79" t="s">
        <v>407</v>
      </c>
      <c r="B79">
        <v>6</v>
      </c>
      <c r="C79">
        <v>1</v>
      </c>
      <c r="D79">
        <f t="shared" si="20"/>
        <v>3.9787961145802351</v>
      </c>
      <c r="F79" s="2">
        <f>IF(D79&gt;0,D79*Agriculture!$D$2+Agriculture!$E$16*E79,IF(E79&gt;0,0,Agriculture!$D$2*0.025))</f>
        <v>3978796.114580235</v>
      </c>
      <c r="G79" s="2">
        <f>L79*1/Agriculture!$C$49*Agriculture!$E$16</f>
        <v>0</v>
      </c>
      <c r="J79">
        <v>9700</v>
      </c>
      <c r="K79" s="48">
        <f>IF(I79&gt;0,I79,J79/2000*Conversion!$D$23)</f>
        <v>10872.256203499999</v>
      </c>
      <c r="O79" s="59"/>
      <c r="P79" s="59"/>
      <c r="Q79" s="59"/>
      <c r="R79" s="59"/>
      <c r="S79" s="59"/>
      <c r="T79" s="60">
        <f t="shared" si="16"/>
        <v>0</v>
      </c>
      <c r="U79" s="60"/>
      <c r="V79">
        <v>0.31</v>
      </c>
      <c r="X79">
        <f t="shared" si="17"/>
        <v>1</v>
      </c>
      <c r="Y79" s="2">
        <v>0.1</v>
      </c>
      <c r="Z79" s="2">
        <f>IF(K79&gt;0,F79/K79/X79*Conversion!$E$18,0)*Y79</f>
        <v>365958.64189618529</v>
      </c>
      <c r="AA79" s="2">
        <f>IF(L79&gt;0,G79/L79/X79*Conversion!$E$18,0)*Y79</f>
        <v>0</v>
      </c>
      <c r="AB79" s="2">
        <f t="shared" si="18"/>
        <v>113447.17898781745</v>
      </c>
      <c r="AC79" s="2">
        <f>(F79*T79)/365.26/Agriculture!$D$2</f>
        <v>0</v>
      </c>
      <c r="AD79" s="3">
        <f>SUM(Z79:AA79)*Conversion!$F$19</f>
        <v>90.432039998966346</v>
      </c>
      <c r="AE79">
        <f t="shared" si="14"/>
        <v>14.8</v>
      </c>
      <c r="AF79" s="3">
        <f t="shared" si="22"/>
        <v>1338.394191984702</v>
      </c>
      <c r="AG79">
        <f t="shared" si="21"/>
        <v>0</v>
      </c>
    </row>
    <row r="80" spans="1:33" ht="18">
      <c r="A80" t="s">
        <v>402</v>
      </c>
      <c r="B80">
        <v>6</v>
      </c>
      <c r="C80">
        <v>2</v>
      </c>
      <c r="D80">
        <f t="shared" si="20"/>
        <v>7.9575922291604702</v>
      </c>
      <c r="F80" s="2">
        <f>IF(D80&gt;0,D80*Agriculture!$D$2+Agriculture!$E$16*E80,IF(E80&gt;0,0,Agriculture!$D$2*0.025))</f>
        <v>7957592.22916047</v>
      </c>
      <c r="G80" s="2">
        <f>L80*1/Agriculture!$C$49*Agriculture!$E$16</f>
        <v>0</v>
      </c>
      <c r="J80">
        <v>11000</v>
      </c>
      <c r="K80" s="48">
        <f>IF(I80&gt;0,I80,J80/2000*Conversion!$D$23)</f>
        <v>12329.362705000001</v>
      </c>
      <c r="M80">
        <v>150</v>
      </c>
      <c r="O80" s="59"/>
      <c r="P80" s="59"/>
      <c r="Q80" s="59"/>
      <c r="R80" s="59"/>
      <c r="S80" s="59"/>
      <c r="T80" s="60">
        <f t="shared" si="16"/>
        <v>0</v>
      </c>
      <c r="U80" s="60"/>
      <c r="V80">
        <v>0.31</v>
      </c>
      <c r="X80">
        <f t="shared" si="17"/>
        <v>2.4000000000000004</v>
      </c>
      <c r="Y80" s="2">
        <v>0.1</v>
      </c>
      <c r="Z80" s="2">
        <f>IF(K80&gt;0,F80/K80/X80*Conversion!$E$18,0)*Y80</f>
        <v>268924.15351462091</v>
      </c>
      <c r="AA80" s="2">
        <f>IF(L80&gt;0,G80/L80/X80*Conversion!$E$18,0)*Y80</f>
        <v>0</v>
      </c>
      <c r="AB80" s="2">
        <f t="shared" si="18"/>
        <v>83366.48758953248</v>
      </c>
      <c r="AC80" s="2">
        <f>(F80*T80)/365.26/Agriculture!$D$2</f>
        <v>0</v>
      </c>
      <c r="AD80" s="3">
        <f>SUM(Z80:AA80)*Conversion!$F$19</f>
        <v>66.453847574997965</v>
      </c>
      <c r="AE80">
        <f t="shared" si="14"/>
        <v>14.8</v>
      </c>
      <c r="AF80" s="3">
        <f t="shared" si="22"/>
        <v>2360.4406658639282</v>
      </c>
      <c r="AG80">
        <f t="shared" si="21"/>
        <v>0</v>
      </c>
    </row>
    <row r="81" spans="1:33" ht="18">
      <c r="A81" t="s">
        <v>413</v>
      </c>
      <c r="B81">
        <v>6</v>
      </c>
      <c r="C81">
        <v>1</v>
      </c>
      <c r="D81">
        <f t="shared" si="20"/>
        <v>3.9787961145802351</v>
      </c>
      <c r="F81" s="2">
        <f>IF(D81&gt;0,D81*Agriculture!$D$2+Agriculture!$E$16*E81,IF(E81&gt;0,0,Agriculture!$D$2*0.025))</f>
        <v>3978796.114580235</v>
      </c>
      <c r="G81" s="2">
        <f>L81*1/Agriculture!$C$49*Agriculture!$E$16</f>
        <v>0</v>
      </c>
      <c r="J81">
        <v>10300</v>
      </c>
      <c r="K81" s="48">
        <f>IF(I81&gt;0,I81,J81/2000*Conversion!$D$23)</f>
        <v>11544.766896500001</v>
      </c>
      <c r="M81">
        <v>150</v>
      </c>
      <c r="T81" s="60">
        <f t="shared" si="16"/>
        <v>0</v>
      </c>
      <c r="U81" s="60"/>
      <c r="V81">
        <v>0.31</v>
      </c>
      <c r="X81">
        <f t="shared" si="17"/>
        <v>2.4000000000000004</v>
      </c>
      <c r="Y81" s="2">
        <v>0.1</v>
      </c>
      <c r="Z81" s="2">
        <f>IF(K81&gt;0,F81/K81/X81*Conversion!$E$18,0)*Y81</f>
        <v>143600.276148584</v>
      </c>
      <c r="AA81" s="2">
        <f>IF(L81&gt;0,G81/L81/X81*Conversion!$E$18,0)*Y81</f>
        <v>0</v>
      </c>
      <c r="AB81" s="2">
        <f t="shared" si="18"/>
        <v>44516.085606061039</v>
      </c>
      <c r="AC81" s="2">
        <f>(F81*T81)/365.26/Agriculture!$D$2</f>
        <v>0</v>
      </c>
      <c r="AD81" s="3">
        <f>SUM(Z81:AA81)*Conversion!$F$19</f>
        <v>35.485064239076593</v>
      </c>
      <c r="AE81">
        <f t="shared" si="14"/>
        <v>14.8</v>
      </c>
      <c r="AF81" s="3">
        <f t="shared" si="22"/>
        <v>1260.4294817720008</v>
      </c>
      <c r="AG81">
        <f t="shared" si="21"/>
        <v>0</v>
      </c>
    </row>
    <row r="82" spans="1:33" ht="18">
      <c r="F82" s="2"/>
      <c r="G82" s="2"/>
      <c r="K82" s="48"/>
      <c r="O82" s="59"/>
      <c r="P82" s="59"/>
      <c r="Q82" s="59"/>
      <c r="R82" s="59"/>
      <c r="S82" s="59"/>
      <c r="T82" s="60"/>
      <c r="U82" s="60"/>
      <c r="Y82" s="2">
        <v>0.1</v>
      </c>
      <c r="Z82" s="2"/>
      <c r="AA82" s="2"/>
      <c r="AB82" s="2"/>
      <c r="AC82" s="2"/>
      <c r="AD82" s="3">
        <f>SUM(Z82:AA82)*Conversion!$F$19</f>
        <v>0</v>
      </c>
      <c r="AE82">
        <f t="shared" si="14"/>
        <v>14.8</v>
      </c>
      <c r="AF82" s="3">
        <f t="shared" si="22"/>
        <v>0</v>
      </c>
      <c r="AG82">
        <f t="shared" si="21"/>
        <v>0</v>
      </c>
    </row>
    <row r="83" spans="1:33" ht="18">
      <c r="A83" t="str">
        <f>Agriculture!B30</f>
        <v>Starchy Root</v>
      </c>
      <c r="B83">
        <f>COUNT(B84:B86)</f>
        <v>3</v>
      </c>
      <c r="C83">
        <f>SUM(C84:C86)</f>
        <v>2</v>
      </c>
      <c r="D83">
        <f>Agriculture!G30</f>
        <v>45.804518783542036</v>
      </c>
      <c r="F83" s="2"/>
      <c r="G83" s="2"/>
      <c r="K83" s="48"/>
      <c r="O83" s="59"/>
      <c r="P83" s="59"/>
      <c r="Q83" s="59"/>
      <c r="R83" s="59"/>
      <c r="S83" s="59"/>
      <c r="T83" s="60"/>
      <c r="U83" s="60"/>
      <c r="Y83" s="2">
        <v>0.1</v>
      </c>
      <c r="Z83" s="2"/>
      <c r="AA83" s="2"/>
      <c r="AB83" s="2"/>
      <c r="AC83" s="2"/>
      <c r="AD83" s="3">
        <f>SUM(Z83:AA83)*Conversion!$F$19</f>
        <v>0</v>
      </c>
      <c r="AE83">
        <f t="shared" si="14"/>
        <v>14.8</v>
      </c>
      <c r="AF83" s="3">
        <f t="shared" si="22"/>
        <v>0</v>
      </c>
      <c r="AG83">
        <f t="shared" si="21"/>
        <v>0</v>
      </c>
    </row>
    <row r="84" spans="1:33" ht="18">
      <c r="A84" t="s">
        <v>88</v>
      </c>
      <c r="B84">
        <v>7</v>
      </c>
      <c r="C84">
        <v>1</v>
      </c>
      <c r="D84">
        <f>$D$83*C84/$C$83</f>
        <v>22.902259391771018</v>
      </c>
      <c r="F84" s="2">
        <f>IF(D84&gt;0,D84*Agriculture!$D$2+Agriculture!$E$16*E84,IF(E84&gt;0,0,Agriculture!$D$2*0.025))</f>
        <v>22902259.391771019</v>
      </c>
      <c r="G84" s="2">
        <f>L84*1/Agriculture!$C$49*Agriculture!$E$16</f>
        <v>0</v>
      </c>
      <c r="H84" t="s">
        <v>382</v>
      </c>
      <c r="I84">
        <v>17268</v>
      </c>
      <c r="J84">
        <v>15200</v>
      </c>
      <c r="K84" s="48">
        <f>IF(I84&gt;0,I84,J84/2000*Conversion!$D$23)</f>
        <v>17268</v>
      </c>
      <c r="M84">
        <v>150</v>
      </c>
      <c r="O84" s="59">
        <v>2</v>
      </c>
      <c r="P84" s="59">
        <v>0.09</v>
      </c>
      <c r="Q84" s="59">
        <v>0</v>
      </c>
      <c r="R84" s="59">
        <v>17.47</v>
      </c>
      <c r="S84" s="59">
        <v>1318</v>
      </c>
      <c r="T84" s="60">
        <f>(O84*4+R84*4+P84*9+Q84*9)*10</f>
        <v>786.9</v>
      </c>
      <c r="U84" s="60"/>
      <c r="V84">
        <v>0.5</v>
      </c>
      <c r="W84">
        <v>1</v>
      </c>
      <c r="X84">
        <f>IF(N84&gt;0,1,IF(M84&gt;0,FLOOR(365.26/M84,0.1),1))</f>
        <v>2.4000000000000004</v>
      </c>
      <c r="Y84" s="2">
        <v>0.1</v>
      </c>
      <c r="Z84" s="2">
        <f>IF(K84&gt;0,F84/K84/X84*Conversion!$E$18,0)*Y84</f>
        <v>552618.02640170197</v>
      </c>
      <c r="AA84" s="2">
        <f>IF(L84&gt;0,G84/L84/X84*Conversion!$E$18,0)*Y84</f>
        <v>0</v>
      </c>
      <c r="AB84" s="2">
        <f>(Z84+AA84)*IF(V84&gt;0,V84,1)</f>
        <v>276309.01320085098</v>
      </c>
      <c r="AC84" s="2">
        <f>(F84*T84)/365.26/Agriculture!$D$2</f>
        <v>49.339615384615378</v>
      </c>
      <c r="AD84" s="3">
        <f>SUM(Z84:AA84)*Conversion!$F$19</f>
        <v>136.55744050412457</v>
      </c>
      <c r="AE84">
        <f t="shared" si="14"/>
        <v>14.8</v>
      </c>
      <c r="AF84" s="3">
        <f t="shared" si="22"/>
        <v>4850.5202867065054</v>
      </c>
      <c r="AG84">
        <f t="shared" si="21"/>
        <v>0</v>
      </c>
    </row>
    <row r="85" spans="1:33" ht="18">
      <c r="A85" t="s">
        <v>360</v>
      </c>
      <c r="B85">
        <v>7</v>
      </c>
      <c r="C85">
        <v>1</v>
      </c>
      <c r="D85">
        <f t="shared" ref="D85:D86" si="23">$D$83*C85/$C$83</f>
        <v>22.902259391771018</v>
      </c>
      <c r="F85" s="2">
        <f>IF(D85&gt;0,D85*Agriculture!$D$2+Agriculture!$E$16*E85,IF(E85&gt;0,0,Agriculture!$D$2*0.025))</f>
        <v>22902259.391771019</v>
      </c>
      <c r="G85" s="2">
        <f>L85*1/Agriculture!$C$49*Agriculture!$E$16</f>
        <v>0</v>
      </c>
      <c r="H85" t="s">
        <v>382</v>
      </c>
      <c r="I85">
        <v>13467</v>
      </c>
      <c r="J85">
        <v>6000</v>
      </c>
      <c r="K85" s="48">
        <f>IF(I85&gt;0,I85,J85/2000*Conversion!$D$23)</f>
        <v>13467</v>
      </c>
      <c r="M85">
        <v>150</v>
      </c>
      <c r="O85" s="59">
        <v>1.57</v>
      </c>
      <c r="P85" s="59">
        <v>0.05</v>
      </c>
      <c r="Q85" s="59">
        <v>0</v>
      </c>
      <c r="R85" s="59">
        <v>20.12</v>
      </c>
      <c r="S85" s="59">
        <v>1140</v>
      </c>
      <c r="T85" s="60">
        <f>(O85*4+R85*4+P85*9+Q85*9)*10</f>
        <v>872.10000000000014</v>
      </c>
      <c r="U85" s="60"/>
      <c r="V85" s="59">
        <v>0.5</v>
      </c>
      <c r="X85">
        <f>IF(N85&gt;0,1,IF(M85&gt;0,FLOOR(365.26/M85,0.1),1))</f>
        <v>2.4000000000000004</v>
      </c>
      <c r="Y85" s="2">
        <v>0.1</v>
      </c>
      <c r="Z85" s="2">
        <f>IF(K85&gt;0,F85/K85/X85*Conversion!$E$18,0)*Y85</f>
        <v>708591.97147876956</v>
      </c>
      <c r="AA85" s="2">
        <f>IF(L85&gt;0,G85/L85/X85*Conversion!$E$18,0)*Y85</f>
        <v>0</v>
      </c>
      <c r="AB85" s="2">
        <f>(Z85+AA85)*IF(V85&gt;0,V85,1)</f>
        <v>354295.98573938478</v>
      </c>
      <c r="AC85" s="2">
        <f>(F85*T85)/365.26/Agriculture!$D$2</f>
        <v>54.681762075134174</v>
      </c>
      <c r="AD85" s="3">
        <f>SUM(Z85:AA85)*Conversion!$F$19</f>
        <v>175.10016207211874</v>
      </c>
      <c r="AE85">
        <f t="shared" si="14"/>
        <v>14.8</v>
      </c>
      <c r="AF85" s="3">
        <f t="shared" si="22"/>
        <v>6219.5577568016588</v>
      </c>
      <c r="AG85">
        <f t="shared" si="21"/>
        <v>0</v>
      </c>
    </row>
    <row r="86" spans="1:33" ht="18">
      <c r="A86" t="s">
        <v>364</v>
      </c>
      <c r="B86">
        <v>7</v>
      </c>
      <c r="C86">
        <v>0</v>
      </c>
      <c r="D86">
        <f t="shared" si="23"/>
        <v>0</v>
      </c>
      <c r="F86" s="2">
        <f>IF(D86&gt;0,D86*Agriculture!$D$2+Agriculture!$E$16*E86,IF(E86&gt;0,0,Agriculture!$D$2*0.025))</f>
        <v>25000</v>
      </c>
      <c r="G86" s="2">
        <f>L86*1/Agriculture!$C$49*Agriculture!$E$16</f>
        <v>0</v>
      </c>
      <c r="I86">
        <v>10497</v>
      </c>
      <c r="K86" s="48">
        <f>IF(I86&gt;0,I86,J86/2000*Conversion!$D$23)</f>
        <v>10497</v>
      </c>
      <c r="M86">
        <v>150</v>
      </c>
      <c r="O86" s="59">
        <v>1.53</v>
      </c>
      <c r="P86" s="59">
        <v>0.17</v>
      </c>
      <c r="Q86" s="59">
        <v>0</v>
      </c>
      <c r="R86" s="59">
        <v>27.88</v>
      </c>
      <c r="S86" s="59">
        <v>1215</v>
      </c>
      <c r="T86" s="60">
        <f>(O86*4+R86*4+P86*9+Q86*9)*10</f>
        <v>1191.7</v>
      </c>
      <c r="U86" s="60"/>
      <c r="V86" s="59">
        <v>0.5</v>
      </c>
      <c r="X86">
        <f>IF(N86&gt;0,1,IF(M86&gt;0,FLOOR(365.26/M86,0.1),1))</f>
        <v>2.4000000000000004</v>
      </c>
      <c r="Y86" s="2">
        <v>0.1</v>
      </c>
      <c r="Z86" s="2">
        <f>IF(K86&gt;0,F86/K86/X86*Conversion!$E$18,0)*Y86</f>
        <v>992.34701978343003</v>
      </c>
      <c r="AA86" s="2">
        <f>IF(L86&gt;0,G86/L86/X86*Conversion!$E$18,0)*Y86</f>
        <v>0</v>
      </c>
      <c r="AB86" s="2">
        <f>(Z86+AA86)*IF(V86&gt;0,V86,1)</f>
        <v>496.17350989171501</v>
      </c>
      <c r="AC86" s="2">
        <f>(F86*T86)/365.26/Agriculture!$D$2</f>
        <v>8.1565186442534091E-2</v>
      </c>
      <c r="AD86" s="3">
        <f>SUM(Z86:AA86)*Conversion!$F$19</f>
        <v>0.24521887205868337</v>
      </c>
      <c r="AE86">
        <f t="shared" ref="AE86:AE119" si="24">1.5+9.4+3.9</f>
        <v>14.8</v>
      </c>
      <c r="AF86" s="3">
        <f t="shared" si="22"/>
        <v>8.7101743355244352</v>
      </c>
      <c r="AG86">
        <f t="shared" si="21"/>
        <v>0</v>
      </c>
    </row>
    <row r="87" spans="1:33" ht="18">
      <c r="F87" s="2"/>
      <c r="G87" s="2"/>
      <c r="K87" s="48"/>
      <c r="O87" s="59"/>
      <c r="P87" s="59"/>
      <c r="Q87" s="59"/>
      <c r="R87" s="59"/>
      <c r="S87" s="59"/>
      <c r="T87" s="60"/>
      <c r="U87" s="60"/>
      <c r="Y87" s="2">
        <v>0.1</v>
      </c>
      <c r="Z87" s="2"/>
      <c r="AA87" s="2"/>
      <c r="AB87" s="2"/>
      <c r="AC87" s="2"/>
      <c r="AD87" s="3">
        <f>SUM(Z87:AA87)*Conversion!$F$19</f>
        <v>0</v>
      </c>
      <c r="AE87">
        <f t="shared" si="24"/>
        <v>14.8</v>
      </c>
      <c r="AF87" s="3">
        <f t="shared" si="22"/>
        <v>0</v>
      </c>
      <c r="AG87">
        <f t="shared" si="21"/>
        <v>0</v>
      </c>
    </row>
    <row r="88" spans="1:33" ht="18">
      <c r="A88" t="str">
        <f>Agriculture!B31</f>
        <v>Pulses</v>
      </c>
      <c r="B88">
        <f>COUNT(B89:B98)</f>
        <v>10</v>
      </c>
      <c r="C88">
        <f>SUM(C89:C98)</f>
        <v>2.5</v>
      </c>
      <c r="D88">
        <f>Agriculture!G31</f>
        <v>19.390345679012345</v>
      </c>
      <c r="F88" s="2"/>
      <c r="G88" s="2"/>
      <c r="K88" s="48"/>
      <c r="O88" s="59"/>
      <c r="P88" s="59"/>
      <c r="Q88" s="59"/>
      <c r="R88" s="59"/>
      <c r="S88" s="59"/>
      <c r="T88" s="60"/>
      <c r="U88" s="60"/>
      <c r="Y88" s="2">
        <v>0.1</v>
      </c>
      <c r="Z88" s="2"/>
      <c r="AA88" s="2"/>
      <c r="AB88" s="2"/>
      <c r="AC88" s="2"/>
      <c r="AD88" s="3">
        <f>SUM(Z88:AA88)*Conversion!$F$19</f>
        <v>0</v>
      </c>
      <c r="AE88">
        <f t="shared" si="24"/>
        <v>14.8</v>
      </c>
      <c r="AF88" s="3">
        <f t="shared" si="22"/>
        <v>0</v>
      </c>
    </row>
    <row r="89" spans="1:33" ht="18">
      <c r="A89" t="s">
        <v>417</v>
      </c>
      <c r="B89">
        <v>8</v>
      </c>
      <c r="C89">
        <v>1</v>
      </c>
      <c r="D89">
        <f>$D$88*C89/$C$88</f>
        <v>7.7561382716049376</v>
      </c>
      <c r="F89" s="2">
        <f>IF(D89&gt;0,D89*Agriculture!$D$2+Agriculture!$E$16*E89,IF(E89&gt;0,0,Agriculture!$D$2*0.025))</f>
        <v>7756138.2716049375</v>
      </c>
      <c r="G89" s="2">
        <f>L89*1/Agriculture!$C$49*Agriculture!$E$16</f>
        <v>0</v>
      </c>
      <c r="H89" t="s">
        <v>382</v>
      </c>
      <c r="I89">
        <v>729</v>
      </c>
      <c r="K89" s="48">
        <f>IF(I89&gt;0,I89,J89/2000*Conversion!$D$23)</f>
        <v>729</v>
      </c>
      <c r="M89">
        <v>60</v>
      </c>
      <c r="O89" s="59">
        <v>22</v>
      </c>
      <c r="P89">
        <v>0.81</v>
      </c>
      <c r="R89" s="59">
        <v>57.45</v>
      </c>
      <c r="S89" s="59">
        <v>229</v>
      </c>
      <c r="T89" s="60">
        <f t="shared" ref="T89:T98" si="25">(O89*4+R89*4+P89*9+Q89*9)*10</f>
        <v>3250.9000000000005</v>
      </c>
      <c r="U89" s="60"/>
      <c r="V89">
        <v>0.31</v>
      </c>
      <c r="X89">
        <f t="shared" ref="X89:X98" si="26">IF(N89&gt;0,1,IF(M89&gt;0,FLOOR(365.26/M89,0.1),1))</f>
        <v>6</v>
      </c>
      <c r="Y89" s="2">
        <v>0.1</v>
      </c>
      <c r="Z89" s="2">
        <f>IF(K89&gt;0,F89/K89/X89*Conversion!$E$18,0)*Y89</f>
        <v>1773236.9162334108</v>
      </c>
      <c r="AA89" s="2">
        <f>IF(L89&gt;0,G89/L89/X89*Conversion!$E$18,0)*Y89</f>
        <v>0</v>
      </c>
      <c r="AB89" s="2">
        <f t="shared" ref="AB89:AB98" si="27">(Z89+AA89)*IF(V89&gt;0,V89,1)</f>
        <v>549703.44403235731</v>
      </c>
      <c r="AC89" s="2">
        <f>(F89*T89)/365.26/Agriculture!$D$2</f>
        <v>69.031456790123457</v>
      </c>
      <c r="AD89" s="3">
        <f>SUM(Z89:AA89)*Conversion!$F$19</f>
        <v>438.1845743704381</v>
      </c>
      <c r="AE89">
        <f t="shared" ref="AE89:AE98" si="28">24.4+12+4.7+9.4+6</f>
        <v>56.5</v>
      </c>
      <c r="AF89" s="3">
        <f t="shared" si="22"/>
        <v>148544.57071157853</v>
      </c>
    </row>
    <row r="90" spans="1:33" ht="18">
      <c r="A90" t="s">
        <v>414</v>
      </c>
      <c r="B90">
        <v>8</v>
      </c>
      <c r="C90">
        <v>0</v>
      </c>
      <c r="D90">
        <f t="shared" ref="D90:D98" si="29">$D$88*C90/$C$88</f>
        <v>0</v>
      </c>
      <c r="F90" s="2">
        <f>IF(D90&gt;0,D90*Agriculture!$D$2+Agriculture!$E$16*E90,IF(E90&gt;0,0,Agriculture!$D$2*0.025))</f>
        <v>25000</v>
      </c>
      <c r="G90" s="2">
        <f>L90*1/Agriculture!$C$49*Agriculture!$E$16</f>
        <v>0</v>
      </c>
      <c r="J90">
        <v>1400</v>
      </c>
      <c r="K90" s="48">
        <f>IF(I90&gt;0,I90,J90/2000*Conversion!$D$23)</f>
        <v>1569.191617</v>
      </c>
      <c r="M90">
        <v>60</v>
      </c>
      <c r="O90" s="59"/>
      <c r="R90" s="59"/>
      <c r="S90" s="59"/>
      <c r="T90" s="60">
        <f t="shared" si="25"/>
        <v>0</v>
      </c>
      <c r="U90" s="60"/>
      <c r="V90">
        <v>0.31</v>
      </c>
      <c r="X90">
        <f t="shared" si="26"/>
        <v>6</v>
      </c>
      <c r="Y90" s="2">
        <v>0.1</v>
      </c>
      <c r="Z90" s="2">
        <f>IF(K90&gt;0,F90/K90/X90*Conversion!$E$18,0)*Y90</f>
        <v>2655.2950076502143</v>
      </c>
      <c r="AA90" s="2">
        <f>IF(L90&gt;0,G90/L90/X90*Conversion!$E$18,0)*Y90</f>
        <v>0</v>
      </c>
      <c r="AB90" s="2">
        <f t="shared" si="27"/>
        <v>823.1414523715664</v>
      </c>
      <c r="AC90" s="2">
        <f>(F90*T90)/365.26/Agriculture!$D$2</f>
        <v>0</v>
      </c>
      <c r="AD90" s="3">
        <f>SUM(Z90:AA90)*Conversion!$F$19</f>
        <v>0.65614994934044446</v>
      </c>
      <c r="AE90">
        <f t="shared" si="28"/>
        <v>56.5</v>
      </c>
      <c r="AF90" s="3">
        <f t="shared" si="22"/>
        <v>222.43483282641066</v>
      </c>
    </row>
    <row r="91" spans="1:33" ht="18">
      <c r="A91" t="s">
        <v>415</v>
      </c>
      <c r="B91">
        <v>8</v>
      </c>
      <c r="D91">
        <f t="shared" si="29"/>
        <v>0</v>
      </c>
      <c r="F91" s="2">
        <f>IF(D91&gt;0,D91*Agriculture!$D$2+Agriculture!$E$16*E91,IF(E91&gt;0,0,Agriculture!$D$2*0.025))</f>
        <v>25000</v>
      </c>
      <c r="G91" s="2">
        <f>L91*1/Agriculture!$C$49*Agriculture!$E$16</f>
        <v>0</v>
      </c>
      <c r="J91">
        <v>4600</v>
      </c>
      <c r="K91" s="48">
        <f>IF(I91&gt;0,I91,J91/2000*Conversion!$D$23)</f>
        <v>5155.9153129999995</v>
      </c>
      <c r="M91">
        <v>60</v>
      </c>
      <c r="O91" s="59"/>
      <c r="R91" s="59"/>
      <c r="S91" s="59"/>
      <c r="T91" s="60">
        <f t="shared" si="25"/>
        <v>0</v>
      </c>
      <c r="U91" s="60"/>
      <c r="V91">
        <v>0.31</v>
      </c>
      <c r="X91">
        <f t="shared" si="26"/>
        <v>6</v>
      </c>
      <c r="Y91" s="2">
        <v>0.1</v>
      </c>
      <c r="Z91" s="2">
        <f>IF(K91&gt;0,F91/K91/X91*Conversion!$E$18,0)*Y91</f>
        <v>808.13326319789121</v>
      </c>
      <c r="AA91" s="2">
        <f>IF(L91&gt;0,G91/L91/X91*Conversion!$E$18,0)*Y91</f>
        <v>0</v>
      </c>
      <c r="AB91" s="2">
        <f t="shared" si="27"/>
        <v>250.52131159134626</v>
      </c>
      <c r="AC91" s="2">
        <f>(F91*T91)/365.26/Agriculture!$D$2</f>
        <v>0</v>
      </c>
      <c r="AD91" s="3">
        <f>SUM(Z91:AA91)*Conversion!$F$19</f>
        <v>0.19969781066883088</v>
      </c>
      <c r="AE91">
        <f t="shared" si="28"/>
        <v>56.5</v>
      </c>
      <c r="AF91" s="3">
        <f t="shared" si="22"/>
        <v>67.697557816733678</v>
      </c>
    </row>
    <row r="92" spans="1:33" ht="18">
      <c r="A92" t="s">
        <v>416</v>
      </c>
      <c r="B92">
        <v>8</v>
      </c>
      <c r="C92">
        <v>0</v>
      </c>
      <c r="D92">
        <f t="shared" si="29"/>
        <v>0</v>
      </c>
      <c r="F92" s="2">
        <f>IF(D92&gt;0,D92*Agriculture!$D$2+Agriculture!$E$16*E92,IF(E92&gt;0,0,Agriculture!$D$2*0.025))</f>
        <v>25000</v>
      </c>
      <c r="G92" s="2">
        <f>L92*1/Agriculture!$C$49*Agriculture!$E$16</f>
        <v>0</v>
      </c>
      <c r="H92" t="s">
        <v>382</v>
      </c>
      <c r="I92">
        <v>6918</v>
      </c>
      <c r="K92" s="48">
        <f>IF(I92&gt;0,I92,J92/2000*Conversion!$D$23)</f>
        <v>6918</v>
      </c>
      <c r="M92">
        <v>60</v>
      </c>
      <c r="O92" s="59">
        <v>1.83</v>
      </c>
      <c r="P92">
        <v>0.22</v>
      </c>
      <c r="R92" s="59">
        <v>6.97</v>
      </c>
      <c r="S92" s="59">
        <v>249</v>
      </c>
      <c r="T92" s="60">
        <f t="shared" si="25"/>
        <v>371.8</v>
      </c>
      <c r="U92" s="60"/>
      <c r="V92">
        <v>0.31</v>
      </c>
      <c r="X92">
        <f t="shared" si="26"/>
        <v>6</v>
      </c>
      <c r="Y92" s="2">
        <v>0.1</v>
      </c>
      <c r="Z92" s="2">
        <f>IF(K92&gt;0,F92/K92/X92*Conversion!$E$18,0)*Y92</f>
        <v>602.29353377662153</v>
      </c>
      <c r="AA92" s="2">
        <f>IF(L92&gt;0,G92/L92/X92*Conversion!$E$18,0)*Y92</f>
        <v>0</v>
      </c>
      <c r="AB92" s="2">
        <f t="shared" si="27"/>
        <v>186.71099547075266</v>
      </c>
      <c r="AC92" s="2">
        <f>(F92*T92)/365.26/Agriculture!$D$2</f>
        <v>2.54476263483546E-2</v>
      </c>
      <c r="AD92" s="3">
        <f>SUM(Z92:AA92)*Conversion!$F$19</f>
        <v>0.14883275513154093</v>
      </c>
      <c r="AE92">
        <f t="shared" si="28"/>
        <v>56.5</v>
      </c>
      <c r="AF92" s="3">
        <f t="shared" si="22"/>
        <v>50.454303989592376</v>
      </c>
    </row>
    <row r="93" spans="1:33" ht="18">
      <c r="A93" t="s">
        <v>340</v>
      </c>
      <c r="B93">
        <v>8</v>
      </c>
      <c r="C93">
        <v>0.5</v>
      </c>
      <c r="D93">
        <f t="shared" si="29"/>
        <v>3.8780691358024688</v>
      </c>
      <c r="F93" s="2">
        <f>IF(D93&gt;0,D93*Agriculture!$D$2+Agriculture!$E$16*E93,IF(E93&gt;0,0,Agriculture!$D$2*0.025))</f>
        <v>3878069.1358024688</v>
      </c>
      <c r="G93" s="2">
        <f>L93*1/Agriculture!$C$49*Agriculture!$E$16</f>
        <v>0</v>
      </c>
      <c r="H93" t="s">
        <v>382</v>
      </c>
      <c r="I93" s="59">
        <v>944</v>
      </c>
      <c r="J93" s="59"/>
      <c r="K93" s="48">
        <f>IF(I93&gt;0,I93,J93/2000*Conversion!$D$23)</f>
        <v>944</v>
      </c>
      <c r="L93" s="59"/>
      <c r="M93" s="59"/>
      <c r="N93" s="59"/>
      <c r="O93" s="59">
        <v>25.8</v>
      </c>
      <c r="P93" s="59">
        <v>1.06</v>
      </c>
      <c r="Q93" s="59">
        <v>48.7</v>
      </c>
      <c r="R93" s="59">
        <v>60.08</v>
      </c>
      <c r="S93" s="59">
        <v>322</v>
      </c>
      <c r="T93" s="60">
        <f t="shared" si="25"/>
        <v>7913.6</v>
      </c>
      <c r="U93" s="60"/>
      <c r="V93" s="59">
        <v>0.31</v>
      </c>
      <c r="X93">
        <f t="shared" si="26"/>
        <v>1</v>
      </c>
      <c r="Y93" s="2">
        <v>0.1</v>
      </c>
      <c r="Z93" s="2">
        <f>IF(K93&gt;0,F93/K93/X93*Conversion!$E$18,0)*Y93</f>
        <v>4108124.0845365138</v>
      </c>
      <c r="AA93" s="2">
        <f>IF(L93&gt;0,G93/L93/X93*Conversion!$E$18,0)*Y93</f>
        <v>0</v>
      </c>
      <c r="AB93" s="2">
        <f t="shared" si="27"/>
        <v>1273518.4662063192</v>
      </c>
      <c r="AC93" s="2">
        <f>(F93*T93)/365.26/Agriculture!$D$2</f>
        <v>84.020938271604933</v>
      </c>
      <c r="AD93" s="3">
        <f>SUM(Z93:AA93)*Conversion!$F$19</f>
        <v>1015.1585425298179</v>
      </c>
      <c r="AE93">
        <f t="shared" si="28"/>
        <v>56.5</v>
      </c>
      <c r="AF93" s="3">
        <f t="shared" si="22"/>
        <v>57356.45765293471</v>
      </c>
    </row>
    <row r="94" spans="1:33" ht="18">
      <c r="A94" t="s">
        <v>347</v>
      </c>
      <c r="B94">
        <v>8</v>
      </c>
      <c r="D94">
        <f t="shared" si="29"/>
        <v>0</v>
      </c>
      <c r="F94" s="2">
        <f>IF(D94&gt;0,D94*Agriculture!$D$2+Agriculture!$E$16*E94,IF(E94&gt;0,0,Agriculture!$D$2*0.025))</f>
        <v>25000</v>
      </c>
      <c r="G94" s="2">
        <f>L94*1/Agriculture!$C$49*Agriculture!$E$16</f>
        <v>0</v>
      </c>
      <c r="H94" t="s">
        <v>382</v>
      </c>
      <c r="I94">
        <v>1658</v>
      </c>
      <c r="K94" s="48">
        <f>IF(I94&gt;0,I94,J94/2000*Conversion!$D$23)</f>
        <v>1658</v>
      </c>
      <c r="O94" s="59">
        <v>17.399999999999999</v>
      </c>
      <c r="P94" s="59">
        <v>1.3</v>
      </c>
      <c r="Q94" s="59">
        <v>0</v>
      </c>
      <c r="R94" s="59">
        <v>46.4</v>
      </c>
      <c r="S94" s="59">
        <v>428</v>
      </c>
      <c r="T94" s="60">
        <f t="shared" si="25"/>
        <v>2669</v>
      </c>
      <c r="U94" s="60"/>
      <c r="V94" s="59">
        <v>0.31</v>
      </c>
      <c r="X94">
        <f t="shared" si="26"/>
        <v>1</v>
      </c>
      <c r="Y94" s="2">
        <v>0.1</v>
      </c>
      <c r="Z94" s="2">
        <f>IF(K94&gt;0,F94/K94/X94*Conversion!$E$18,0)*Y94</f>
        <v>15078.407720144754</v>
      </c>
      <c r="AA94" s="2">
        <f>IF(L94&gt;0,G94/L94/X94*Conversion!$E$18,0)*Y94</f>
        <v>0</v>
      </c>
      <c r="AB94" s="2">
        <f t="shared" si="27"/>
        <v>4674.306393244874</v>
      </c>
      <c r="AC94" s="2">
        <f>(F94*T94)/365.26/Agriculture!$D$2</f>
        <v>0.18267809231780102</v>
      </c>
      <c r="AD94" s="3">
        <f>SUM(Z94:AA94)*Conversion!$F$19</f>
        <v>3.7260253317249701</v>
      </c>
      <c r="AE94">
        <f t="shared" si="28"/>
        <v>56.5</v>
      </c>
      <c r="AF94" s="3">
        <f t="shared" si="22"/>
        <v>210.5204312424608</v>
      </c>
    </row>
    <row r="95" spans="1:33" ht="18">
      <c r="A95" t="s">
        <v>348</v>
      </c>
      <c r="B95">
        <v>8</v>
      </c>
      <c r="C95">
        <v>1</v>
      </c>
      <c r="D95">
        <f t="shared" si="29"/>
        <v>7.7561382716049376</v>
      </c>
      <c r="F95" s="2">
        <f>IF(D95&gt;0,D95*Agriculture!$D$2+Agriculture!$E$16*E95,IF(E95&gt;0,0,Agriculture!$D$2*0.025))</f>
        <v>7756138.2716049375</v>
      </c>
      <c r="G95" s="2">
        <f>L95*1/Agriculture!$C$49*Agriculture!$E$16</f>
        <v>0</v>
      </c>
      <c r="H95" t="s">
        <v>382</v>
      </c>
      <c r="I95">
        <v>7388</v>
      </c>
      <c r="J95">
        <v>2200</v>
      </c>
      <c r="K95" s="48">
        <f>IF(I95&gt;0,I95,J95/2000*Conversion!$D$23)</f>
        <v>7388</v>
      </c>
      <c r="O95" s="59">
        <v>5.42</v>
      </c>
      <c r="P95" s="59">
        <v>0.4</v>
      </c>
      <c r="Q95" s="59">
        <v>0</v>
      </c>
      <c r="R95" s="59">
        <v>14.45</v>
      </c>
      <c r="S95" s="59">
        <v>593</v>
      </c>
      <c r="T95" s="60">
        <f t="shared" si="25"/>
        <v>830.79999999999984</v>
      </c>
      <c r="U95" s="60"/>
      <c r="V95" s="59">
        <v>0.31</v>
      </c>
      <c r="X95">
        <f t="shared" si="26"/>
        <v>1</v>
      </c>
      <c r="Y95" s="2">
        <v>0.1</v>
      </c>
      <c r="Z95" s="2">
        <f>IF(K95&gt;0,F95/K95/X95*Conversion!$E$18,0)*Y95</f>
        <v>1049829.2192210255</v>
      </c>
      <c r="AA95" s="2">
        <f>IF(L95&gt;0,G95/L95/X95*Conversion!$E$18,0)*Y95</f>
        <v>0</v>
      </c>
      <c r="AB95" s="2">
        <f t="shared" si="27"/>
        <v>325447.05795851792</v>
      </c>
      <c r="AC95" s="2">
        <f>(F95*T95)/365.26/Agriculture!$D$2</f>
        <v>17.641679012345676</v>
      </c>
      <c r="AD95" s="3">
        <f>SUM(Z95:AA95)*Conversion!$F$19</f>
        <v>259.42329836170757</v>
      </c>
      <c r="AE95">
        <f t="shared" si="28"/>
        <v>56.5</v>
      </c>
      <c r="AF95" s="3">
        <f t="shared" si="22"/>
        <v>14657.416357436477</v>
      </c>
    </row>
    <row r="96" spans="1:33" ht="18">
      <c r="A96" t="s">
        <v>368</v>
      </c>
      <c r="B96">
        <v>8</v>
      </c>
      <c r="D96">
        <f t="shared" si="29"/>
        <v>0</v>
      </c>
      <c r="F96" s="2">
        <f>IF(D96&gt;0,D96*Agriculture!$D$2+Agriculture!$E$16*E96,IF(E96&gt;0,0,Agriculture!$D$2*0.025))</f>
        <v>25000</v>
      </c>
      <c r="G96" s="2">
        <f>L96*1/Agriculture!$C$49*Agriculture!$E$16</f>
        <v>0</v>
      </c>
      <c r="I96">
        <v>10000</v>
      </c>
      <c r="K96" s="48">
        <f>IF(I96&gt;0,I96,J96/2000*Conversion!$D$23)</f>
        <v>10000</v>
      </c>
      <c r="O96" s="59">
        <v>6.95</v>
      </c>
      <c r="P96" s="59">
        <v>0.87</v>
      </c>
      <c r="Q96" s="59">
        <v>0</v>
      </c>
      <c r="R96" s="59">
        <v>4.3099999999999996</v>
      </c>
      <c r="S96" s="59">
        <v>508</v>
      </c>
      <c r="T96" s="60">
        <f t="shared" si="25"/>
        <v>528.69999999999993</v>
      </c>
      <c r="U96" s="60"/>
      <c r="V96" s="59">
        <v>0.31</v>
      </c>
      <c r="X96">
        <f t="shared" si="26"/>
        <v>1</v>
      </c>
      <c r="Y96" s="2">
        <v>0.1</v>
      </c>
      <c r="Z96" s="2">
        <f>IF(K96&gt;0,F96/K96/X96*Conversion!$E$18,0)*Y96</f>
        <v>2500</v>
      </c>
      <c r="AA96" s="2">
        <f>IF(L96&gt;0,G96/L96/X96*Conversion!$E$18,0)*Y96</f>
        <v>0</v>
      </c>
      <c r="AB96" s="2">
        <f t="shared" si="27"/>
        <v>775</v>
      </c>
      <c r="AC96" s="2">
        <f>(F96*T96)/365.26/Agriculture!$D$2</f>
        <v>3.6186552045118545E-2</v>
      </c>
      <c r="AD96" s="3">
        <f>SUM(Z96:AA96)*Conversion!$F$19</f>
        <v>0.61777499999999996</v>
      </c>
      <c r="AE96">
        <f t="shared" si="28"/>
        <v>56.5</v>
      </c>
      <c r="AF96" s="3">
        <f t="shared" si="22"/>
        <v>34.904287499999995</v>
      </c>
    </row>
    <row r="97" spans="1:32" ht="18">
      <c r="A97" t="s">
        <v>367</v>
      </c>
      <c r="B97">
        <v>8</v>
      </c>
      <c r="D97">
        <f t="shared" si="29"/>
        <v>0</v>
      </c>
      <c r="F97" s="2">
        <f>IF(D97&gt;0,D97*Agriculture!$D$2+Agriculture!$E$16*E97,IF(E97&gt;0,0,Agriculture!$D$2*0.025))</f>
        <v>25000</v>
      </c>
      <c r="G97" s="2">
        <f>L97*1/Agriculture!$C$49*Agriculture!$E$16</f>
        <v>0</v>
      </c>
      <c r="I97">
        <v>729</v>
      </c>
      <c r="K97" s="48">
        <f>IF(I97&gt;0,I97,J97/2000*Conversion!$D$23)</f>
        <v>729</v>
      </c>
      <c r="O97" s="59">
        <v>29.65</v>
      </c>
      <c r="P97" s="59">
        <v>16.32</v>
      </c>
      <c r="Q97" s="59">
        <v>26.53</v>
      </c>
      <c r="R97" s="59">
        <v>41.71</v>
      </c>
      <c r="S97" s="59">
        <v>305</v>
      </c>
      <c r="T97" s="60">
        <f t="shared" si="25"/>
        <v>6710.9000000000005</v>
      </c>
      <c r="U97" s="60"/>
      <c r="V97" s="59">
        <v>0.31</v>
      </c>
      <c r="X97">
        <f t="shared" si="26"/>
        <v>1</v>
      </c>
      <c r="Y97" s="2">
        <v>0.1</v>
      </c>
      <c r="Z97" s="2">
        <f>IF(K97&gt;0,F97/K97/X97*Conversion!$E$18,0)*Y97</f>
        <v>34293.552812071335</v>
      </c>
      <c r="AA97" s="2">
        <f>IF(L97&gt;0,G97/L97/X97*Conversion!$E$18,0)*Y97</f>
        <v>0</v>
      </c>
      <c r="AB97" s="2">
        <f t="shared" si="27"/>
        <v>10631.001371742113</v>
      </c>
      <c r="AC97" s="2">
        <f>(F97*T97)/365.26/Agriculture!$D$2</f>
        <v>0.45932349559218094</v>
      </c>
      <c r="AD97" s="3">
        <f>SUM(Z97:AA97)*Conversion!$F$19</f>
        <v>8.4742798353909468</v>
      </c>
      <c r="AE97">
        <f t="shared" si="28"/>
        <v>56.5</v>
      </c>
      <c r="AF97" s="3">
        <f t="shared" si="22"/>
        <v>478.79681069958849</v>
      </c>
    </row>
    <row r="98" spans="1:32" ht="18">
      <c r="A98" t="s">
        <v>369</v>
      </c>
      <c r="B98">
        <v>8</v>
      </c>
      <c r="D98">
        <f t="shared" si="29"/>
        <v>0</v>
      </c>
      <c r="F98" s="2">
        <f>IF(D98&gt;0,D98*Agriculture!$D$2+Agriculture!$E$16*E98,IF(E98&gt;0,0,Agriculture!$D$2*0.025))</f>
        <v>25000</v>
      </c>
      <c r="G98" s="2">
        <f>L98*1/Agriculture!$C$49*Agriculture!$E$16</f>
        <v>0</v>
      </c>
      <c r="I98">
        <v>5000</v>
      </c>
      <c r="K98" s="48">
        <f>IF(I98&gt;0,I98,J98/2000*Conversion!$D$23)</f>
        <v>5000</v>
      </c>
      <c r="O98" s="59">
        <v>11.6</v>
      </c>
      <c r="P98" s="59">
        <v>0.9</v>
      </c>
      <c r="Q98" s="59">
        <v>0</v>
      </c>
      <c r="R98" s="59">
        <v>28.1</v>
      </c>
      <c r="S98" s="59">
        <v>807</v>
      </c>
      <c r="T98" s="60">
        <f t="shared" si="25"/>
        <v>1669</v>
      </c>
      <c r="U98" s="60"/>
      <c r="V98" s="59">
        <v>0.31</v>
      </c>
      <c r="X98">
        <f t="shared" si="26"/>
        <v>1</v>
      </c>
      <c r="Y98" s="2">
        <v>0.1</v>
      </c>
      <c r="Z98" s="2">
        <f>IF(K98&gt;0,F98/K98/X98*Conversion!$E$18,0)*Y98</f>
        <v>5000</v>
      </c>
      <c r="AA98" s="2">
        <f>IF(L98&gt;0,G98/L98/X98*Conversion!$E$18,0)*Y98</f>
        <v>0</v>
      </c>
      <c r="AB98" s="2">
        <f t="shared" si="27"/>
        <v>1550</v>
      </c>
      <c r="AC98" s="2">
        <f>(F98*T98)/365.26/Agriculture!$D$2</f>
        <v>0.1142336965449269</v>
      </c>
      <c r="AD98" s="3">
        <f>SUM(Z98:AA98)*Conversion!$F$19</f>
        <v>1.2355499999999999</v>
      </c>
      <c r="AE98">
        <f t="shared" si="28"/>
        <v>56.5</v>
      </c>
      <c r="AF98" s="3">
        <f t="shared" si="22"/>
        <v>69.80857499999999</v>
      </c>
    </row>
    <row r="99" spans="1:32" ht="18">
      <c r="F99" s="2"/>
      <c r="G99" s="2"/>
      <c r="K99" s="48"/>
      <c r="O99" s="59"/>
      <c r="P99" s="59"/>
      <c r="Q99" s="59"/>
      <c r="R99" s="59"/>
      <c r="S99" s="59"/>
      <c r="T99" s="60"/>
      <c r="U99" s="60"/>
      <c r="Y99" s="2">
        <v>0.1</v>
      </c>
      <c r="Z99" s="2"/>
      <c r="AA99" s="2"/>
      <c r="AB99" s="2"/>
      <c r="AC99" s="2"/>
      <c r="AD99" s="3">
        <f>SUM(Z99:AA99)*Conversion!$F$19</f>
        <v>0</v>
      </c>
      <c r="AE99">
        <f t="shared" si="24"/>
        <v>14.8</v>
      </c>
      <c r="AF99" s="3">
        <f t="shared" si="22"/>
        <v>0</v>
      </c>
    </row>
    <row r="100" spans="1:32" ht="18">
      <c r="A100" t="str">
        <f>Agriculture!B32</f>
        <v>Cereals &amp; Grains</v>
      </c>
      <c r="B100">
        <f>COUNT(B101:B112)</f>
        <v>12</v>
      </c>
      <c r="C100">
        <f>SUM(C101:C112)</f>
        <v>6.5</v>
      </c>
      <c r="D100">
        <f>Agriculture!G32</f>
        <v>310.87394036970784</v>
      </c>
      <c r="F100" s="2"/>
      <c r="G100" s="2"/>
      <c r="K100" s="48"/>
      <c r="O100" s="59"/>
      <c r="P100" s="59"/>
      <c r="Q100" s="59"/>
      <c r="R100" s="59"/>
      <c r="S100" s="59"/>
      <c r="T100" s="60"/>
      <c r="U100" s="60"/>
      <c r="Y100" s="2">
        <v>0.1</v>
      </c>
      <c r="Z100" s="2"/>
      <c r="AA100" s="2"/>
      <c r="AB100" s="2"/>
      <c r="AC100" s="2"/>
      <c r="AD100" s="3">
        <f>SUM(Z100:AA100)*Conversion!$F$19</f>
        <v>0</v>
      </c>
      <c r="AE100">
        <f t="shared" si="24"/>
        <v>14.8</v>
      </c>
      <c r="AF100" s="3">
        <f t="shared" si="22"/>
        <v>0</v>
      </c>
    </row>
    <row r="101" spans="1:32" ht="18">
      <c r="A101" t="s">
        <v>89</v>
      </c>
      <c r="B101">
        <v>9</v>
      </c>
      <c r="C101">
        <v>1</v>
      </c>
      <c r="D101">
        <f>$D$100*C101/$C$100</f>
        <v>47.826760056878129</v>
      </c>
      <c r="E101">
        <v>0.05</v>
      </c>
      <c r="F101" s="2">
        <f>IF(D101&gt;0,D101*Agriculture!$D$2+Agriculture!$E$16*E101,IF(E101&gt;0,0,Agriculture!$D$2*0.025))</f>
        <v>168169768.74953285</v>
      </c>
      <c r="G101" s="2">
        <f>L101*1/Agriculture!$C$49*Agriculture!$E$16</f>
        <v>71796022.372738004</v>
      </c>
      <c r="H101" t="s">
        <v>382</v>
      </c>
      <c r="I101">
        <v>2777</v>
      </c>
      <c r="K101" s="48">
        <f>IF(I101&gt;0,I101,J101/2000*Conversion!$D$23)</f>
        <v>2777</v>
      </c>
      <c r="L101">
        <f>I101</f>
        <v>2777</v>
      </c>
      <c r="O101" s="59">
        <v>12.48</v>
      </c>
      <c r="P101" s="59">
        <v>2.2999999999999998</v>
      </c>
      <c r="R101" s="59">
        <v>73.48</v>
      </c>
      <c r="S101" s="59">
        <v>982</v>
      </c>
      <c r="T101" s="60">
        <f t="shared" ref="T101:T112" si="30">(O101*4+R101*4+P101*9+Q101*9)*10</f>
        <v>3645.4</v>
      </c>
      <c r="U101" s="60"/>
      <c r="V101">
        <v>1.5</v>
      </c>
      <c r="W101">
        <v>1</v>
      </c>
      <c r="X101">
        <f t="shared" ref="X101:X112" si="31">IF(N101&gt;0,1,IF(M101&gt;0,FLOOR(365.26/M101,0.1),1))</f>
        <v>1</v>
      </c>
      <c r="Y101" s="2">
        <v>0.1</v>
      </c>
      <c r="Z101" s="2">
        <f>IF(K101&gt;0,F101/K101/X101*Conversion!$E$18,0)*Y101</f>
        <v>60558073.010274708</v>
      </c>
      <c r="AA101" s="2">
        <f>IF(L101&gt;0,G101/L101/X101*Conversion!$E$18,0)*Y101</f>
        <v>25853807.120179333</v>
      </c>
      <c r="AB101" s="2">
        <f t="shared" ref="AB101:AB112" si="32">(Z101+AA101)*IF(V101&gt;0,V101,1)</f>
        <v>129617820.19568105</v>
      </c>
      <c r="AC101" s="2">
        <f>(F101*T101)/365.26/Agriculture!$D$2</f>
        <v>1678.3827273710431</v>
      </c>
      <c r="AD101" s="3">
        <f>SUM(Z101:AA101)*Conversion!$F$19</f>
        <v>21353.239699036494</v>
      </c>
      <c r="AE101">
        <f>24.4+11+4.7+9.4+6</f>
        <v>55.5</v>
      </c>
      <c r="AF101" s="3">
        <f t="shared" si="22"/>
        <v>1185104.8032965255</v>
      </c>
    </row>
    <row r="102" spans="1:32" ht="18">
      <c r="A102" t="s">
        <v>341</v>
      </c>
      <c r="B102">
        <v>9</v>
      </c>
      <c r="C102">
        <v>1</v>
      </c>
      <c r="D102">
        <f t="shared" ref="D102:D112" si="33">$D$100*C102/$C$100</f>
        <v>47.826760056878129</v>
      </c>
      <c r="F102" s="2">
        <f>IF(D102&gt;0,D102*Agriculture!$D$2+Agriculture!$E$16*E102,IF(E102&gt;0,0,Agriculture!$D$2*0.025))</f>
        <v>47826760.056878127</v>
      </c>
      <c r="G102" s="2">
        <f>L102*1/Agriculture!$C$49*Agriculture!$E$16</f>
        <v>132087100.57699619</v>
      </c>
      <c r="H102" t="s">
        <v>382</v>
      </c>
      <c r="I102">
        <v>5109</v>
      </c>
      <c r="J102">
        <v>6200</v>
      </c>
      <c r="K102" s="48">
        <f>IF(I102&gt;0,I102,J102/2000*Conversion!$D$23)</f>
        <v>5109</v>
      </c>
      <c r="L102">
        <f>I102</f>
        <v>5109</v>
      </c>
      <c r="M102">
        <v>150</v>
      </c>
      <c r="O102" s="59">
        <v>8.1199999999999992</v>
      </c>
      <c r="P102" s="59">
        <v>3.59</v>
      </c>
      <c r="Q102" s="59">
        <v>45.6</v>
      </c>
      <c r="R102" s="59">
        <v>76.89</v>
      </c>
      <c r="S102" s="60">
        <v>1847</v>
      </c>
      <c r="T102" s="60">
        <f t="shared" si="30"/>
        <v>7827.5</v>
      </c>
      <c r="U102" s="60"/>
      <c r="V102" s="60">
        <v>0.31</v>
      </c>
      <c r="X102">
        <f t="shared" si="31"/>
        <v>2.4000000000000004</v>
      </c>
      <c r="Y102" s="2">
        <v>0.1</v>
      </c>
      <c r="Z102" s="2">
        <f>IF(K102&gt;0,F102/K102/X102*Conversion!$E$18,0)*Y102</f>
        <v>3900531.7460101554</v>
      </c>
      <c r="AA102" s="2">
        <f>IF(L102&gt;0,G102/L102/X102*Conversion!$E$18,0)*Y102</f>
        <v>10772419.633408053</v>
      </c>
      <c r="AB102" s="2">
        <f t="shared" si="32"/>
        <v>4548614.9276196444</v>
      </c>
      <c r="AC102" s="2">
        <f>(F102*T102)/365.26/Agriculture!$D$2</f>
        <v>1024.9246135498374</v>
      </c>
      <c r="AD102" s="3">
        <f>SUM(Z102:AA102)*Conversion!$F$19</f>
        <v>3625.8330153680336</v>
      </c>
      <c r="AE102">
        <f>24.4+11+4.7+9.4+6</f>
        <v>55.5</v>
      </c>
      <c r="AF102" s="3">
        <f t="shared" si="22"/>
        <v>482960.95764702221</v>
      </c>
    </row>
    <row r="103" spans="1:32" ht="18">
      <c r="A103" t="s">
        <v>343</v>
      </c>
      <c r="B103">
        <v>9</v>
      </c>
      <c r="C103">
        <v>0</v>
      </c>
      <c r="D103">
        <f t="shared" si="33"/>
        <v>0</v>
      </c>
      <c r="F103" s="2">
        <f>IF(D103&gt;0,D103*Agriculture!$D$2+Agriculture!$E$16*E103,IF(E103&gt;0,0,Agriculture!$D$2*0.025))</f>
        <v>25000</v>
      </c>
      <c r="G103" s="2">
        <f>L103*1/Agriculture!$C$49*Agriculture!$E$16</f>
        <v>0</v>
      </c>
      <c r="H103" t="s">
        <v>382</v>
      </c>
      <c r="I103">
        <v>4309</v>
      </c>
      <c r="K103" s="48">
        <f>IF(I103&gt;0,I103,J103/2000*Conversion!$D$23)</f>
        <v>4309</v>
      </c>
      <c r="O103" s="59">
        <v>11</v>
      </c>
      <c r="P103" s="59">
        <v>0.66</v>
      </c>
      <c r="Q103" s="59">
        <v>0</v>
      </c>
      <c r="R103" s="59">
        <v>75</v>
      </c>
      <c r="S103" s="59">
        <v>1462</v>
      </c>
      <c r="T103" s="60">
        <f t="shared" si="30"/>
        <v>3499.4</v>
      </c>
      <c r="U103" s="60"/>
      <c r="V103" s="59">
        <v>0.31</v>
      </c>
      <c r="X103">
        <f t="shared" si="31"/>
        <v>1</v>
      </c>
      <c r="Y103" s="2">
        <v>0.1</v>
      </c>
      <c r="Z103" s="2">
        <f>IF(K103&gt;0,F103/K103/X103*Conversion!$E$18,0)*Y103</f>
        <v>5801.8101647714093</v>
      </c>
      <c r="AA103" s="2">
        <f>IF(L103&gt;0,G103/L103/X103*Conversion!$E$18,0)*Y103</f>
        <v>0</v>
      </c>
      <c r="AB103" s="2">
        <f t="shared" si="32"/>
        <v>1798.5611510791368</v>
      </c>
      <c r="AC103" s="2">
        <f>(F103*T103)/365.26/Agriculture!$D$2</f>
        <v>0.23951431856759567</v>
      </c>
      <c r="AD103" s="3">
        <f>SUM(Z103:AA103)*Conversion!$F$19</f>
        <v>1.4336853098166629</v>
      </c>
      <c r="AE103">
        <f>46.7+18.2+17.6+6.7+24.4+10.5+9.4</f>
        <v>133.5</v>
      </c>
      <c r="AF103" s="3">
        <f t="shared" si="22"/>
        <v>191.39698886052449</v>
      </c>
    </row>
    <row r="104" spans="1:32" ht="18">
      <c r="A104" t="s">
        <v>323</v>
      </c>
      <c r="B104">
        <v>9</v>
      </c>
      <c r="C104">
        <v>1</v>
      </c>
      <c r="D104">
        <f t="shared" si="33"/>
        <v>47.826760056878129</v>
      </c>
      <c r="F104" s="2">
        <f>IF(D104&gt;0,D104*Agriculture!$D$2+Agriculture!$E$16*E104,IF(E104&gt;0,0,Agriculture!$D$2*0.025))</f>
        <v>47826760.056878127</v>
      </c>
      <c r="G104" s="2">
        <f>L104*1/Agriculture!$C$49*Agriculture!$E$16</f>
        <v>176452233.5952239</v>
      </c>
      <c r="H104" t="s">
        <v>382</v>
      </c>
      <c r="I104">
        <v>2275</v>
      </c>
      <c r="K104" s="48">
        <f>IF(I104&gt;0,I104,J104/2000*Conversion!$D$23)</f>
        <v>2275</v>
      </c>
      <c r="L104">
        <f>I104*3</f>
        <v>6825</v>
      </c>
      <c r="O104" s="59">
        <v>16.89</v>
      </c>
      <c r="P104" s="59">
        <v>6.9</v>
      </c>
      <c r="Q104" s="59">
        <v>37</v>
      </c>
      <c r="R104" s="59">
        <v>66.27</v>
      </c>
      <c r="S104" s="59">
        <v>871</v>
      </c>
      <c r="T104" s="60">
        <f t="shared" si="30"/>
        <v>7277.4</v>
      </c>
      <c r="U104" s="60"/>
      <c r="V104" s="59">
        <v>0.31</v>
      </c>
      <c r="X104">
        <f t="shared" si="31"/>
        <v>1</v>
      </c>
      <c r="Y104" s="2">
        <v>0.1</v>
      </c>
      <c r="Z104" s="2">
        <f>IF(K104&gt;0,F104/K104/X104*Conversion!$E$18,0)*Y104</f>
        <v>21022751.673353028</v>
      </c>
      <c r="AA104" s="2">
        <f>IF(L104&gt;0,G104/L104/X104*Conversion!$E$18,0)*Y104</f>
        <v>25853807.120179329</v>
      </c>
      <c r="AB104" s="2">
        <f t="shared" si="32"/>
        <v>14531733.22599503</v>
      </c>
      <c r="AC104" s="2">
        <f>(F104*T104)/365.26/Agriculture!$D$2</f>
        <v>952.89509838998208</v>
      </c>
      <c r="AD104" s="3">
        <f>SUM(Z104:AA104)*Conversion!$F$19</f>
        <v>11583.66644346978</v>
      </c>
      <c r="AE104">
        <f t="shared" ref="AE104:AE112" si="34">24.4+11+4.7+9.4+6</f>
        <v>55.5</v>
      </c>
      <c r="AF104" s="3">
        <f t="shared" si="22"/>
        <v>642893.48761257273</v>
      </c>
    </row>
    <row r="105" spans="1:32" ht="18">
      <c r="A105" t="s">
        <v>99</v>
      </c>
      <c r="B105">
        <v>9</v>
      </c>
      <c r="C105">
        <v>0</v>
      </c>
      <c r="D105">
        <f t="shared" si="33"/>
        <v>0</v>
      </c>
      <c r="F105" s="2">
        <f>IF(D105&gt;0,D105*Agriculture!$D$2+Agriculture!$E$16*E105,IF(E105&gt;0,0,Agriculture!$D$2*0.025))</f>
        <v>25000</v>
      </c>
      <c r="G105" s="2">
        <f>L105*1/Agriculture!$C$49*Agriculture!$E$16</f>
        <v>0</v>
      </c>
      <c r="H105" t="s">
        <v>382</v>
      </c>
      <c r="I105">
        <v>770</v>
      </c>
      <c r="K105" s="48">
        <f>IF(I105&gt;0,I105,J105/2000*Conversion!$D$23)</f>
        <v>770</v>
      </c>
      <c r="O105" s="59">
        <v>14.12</v>
      </c>
      <c r="P105" s="59">
        <v>6.07</v>
      </c>
      <c r="Q105" s="59">
        <v>0</v>
      </c>
      <c r="R105" s="59">
        <v>64.16</v>
      </c>
      <c r="S105" s="59">
        <v>275</v>
      </c>
      <c r="T105" s="60">
        <f t="shared" si="30"/>
        <v>3677.5</v>
      </c>
      <c r="U105" s="60"/>
      <c r="V105" s="59">
        <v>0.31</v>
      </c>
      <c r="W105">
        <v>1</v>
      </c>
      <c r="X105">
        <f t="shared" si="31"/>
        <v>1</v>
      </c>
      <c r="Y105" s="2">
        <v>0.1</v>
      </c>
      <c r="Z105" s="2">
        <f>IF(K105&gt;0,F105/K105/X105*Conversion!$E$18,0)*Y105</f>
        <v>32467.532467532466</v>
      </c>
      <c r="AA105" s="2">
        <f>IF(L105&gt;0,G105/L105/X105*Conversion!$E$18,0)*Y105</f>
        <v>0</v>
      </c>
      <c r="AB105" s="2">
        <f t="shared" si="32"/>
        <v>10064.935064935065</v>
      </c>
      <c r="AC105" s="2">
        <f>(F105*T105)/365.26/Agriculture!$D$2</f>
        <v>0.25170426545474456</v>
      </c>
      <c r="AD105" s="3">
        <f>SUM(Z105:AA105)*Conversion!$F$19</f>
        <v>8.0230519480519469</v>
      </c>
      <c r="AE105">
        <f t="shared" si="34"/>
        <v>55.5</v>
      </c>
      <c r="AF105" s="3">
        <f t="shared" si="22"/>
        <v>445.27938311688303</v>
      </c>
    </row>
    <row r="106" spans="1:32" ht="18">
      <c r="A106" t="s">
        <v>351</v>
      </c>
      <c r="B106">
        <v>9</v>
      </c>
      <c r="C106">
        <v>1</v>
      </c>
      <c r="D106">
        <f t="shared" si="33"/>
        <v>47.826760056878129</v>
      </c>
      <c r="F106" s="2">
        <f>IF(D106&gt;0,D106*Agriculture!$D$2+Agriculture!$E$16*E106,IF(E106&gt;0,0,Agriculture!$D$2*0.025))</f>
        <v>47826760.056878127</v>
      </c>
      <c r="G106" s="2">
        <f>L106*1/Agriculture!$C$49*Agriculture!$E$16</f>
        <v>0</v>
      </c>
      <c r="H106" t="s">
        <v>382</v>
      </c>
      <c r="I106">
        <v>4309</v>
      </c>
      <c r="K106" s="48">
        <f>IF(I106&gt;0,I106,J106/2000*Conversion!$D$23)</f>
        <v>4309</v>
      </c>
      <c r="O106" s="59">
        <v>7.13</v>
      </c>
      <c r="P106" s="59">
        <v>0.66</v>
      </c>
      <c r="Q106" s="59">
        <v>0</v>
      </c>
      <c r="R106" s="59">
        <v>79.95</v>
      </c>
      <c r="S106" s="59">
        <v>1482</v>
      </c>
      <c r="T106" s="60">
        <f t="shared" si="30"/>
        <v>3542.6</v>
      </c>
      <c r="U106" s="60"/>
      <c r="V106" s="59">
        <v>0.31</v>
      </c>
      <c r="W106">
        <v>1</v>
      </c>
      <c r="X106">
        <f t="shared" si="31"/>
        <v>1</v>
      </c>
      <c r="Y106" s="2">
        <v>0.1</v>
      </c>
      <c r="Z106" s="2">
        <f>IF(K106&gt;0,F106/K106/X106*Conversion!$E$18,0)*Y106</f>
        <v>11099271.30584315</v>
      </c>
      <c r="AA106" s="2">
        <f>IF(L106&gt;0,G106/L106/X106*Conversion!$E$18,0)*Y106</f>
        <v>0</v>
      </c>
      <c r="AB106" s="2">
        <f t="shared" si="32"/>
        <v>3440774.1048113764</v>
      </c>
      <c r="AC106" s="2">
        <f>(F106*T106)/365.26/Agriculture!$D$2</f>
        <v>463.86431631576539</v>
      </c>
      <c r="AD106" s="3">
        <f>SUM(Z106:AA106)*Conversion!$F$19</f>
        <v>2742.7409323869006</v>
      </c>
      <c r="AE106">
        <f t="shared" si="34"/>
        <v>55.5</v>
      </c>
      <c r="AF106" s="3">
        <f t="shared" si="22"/>
        <v>152222.12174747299</v>
      </c>
    </row>
    <row r="107" spans="1:32" ht="18">
      <c r="A107" t="s">
        <v>352</v>
      </c>
      <c r="B107">
        <v>9</v>
      </c>
      <c r="C107">
        <v>1</v>
      </c>
      <c r="D107">
        <f t="shared" si="33"/>
        <v>47.826760056878129</v>
      </c>
      <c r="F107" s="2">
        <f>IF(D107&gt;0,D107*Agriculture!$D$2+Agriculture!$E$16*E107,IF(E107&gt;0,0,Agriculture!$D$2*0.025))</f>
        <v>47826760.056878127</v>
      </c>
      <c r="G107" s="2">
        <f>L107*1/Agriculture!$C$49*Agriculture!$E$16</f>
        <v>0</v>
      </c>
      <c r="H107" t="s">
        <v>382</v>
      </c>
      <c r="I107">
        <v>2622</v>
      </c>
      <c r="K107" s="48">
        <f>IF(I107&gt;0,I107,J107/2000*Conversion!$D$23)</f>
        <v>2622</v>
      </c>
      <c r="O107" s="59">
        <v>10.34</v>
      </c>
      <c r="P107" s="59">
        <v>1.63</v>
      </c>
      <c r="Q107" s="59">
        <v>0</v>
      </c>
      <c r="R107" s="59">
        <v>75.86</v>
      </c>
      <c r="S107" s="59">
        <v>914</v>
      </c>
      <c r="T107" s="60">
        <f t="shared" si="30"/>
        <v>3594.7000000000003</v>
      </c>
      <c r="U107" s="60"/>
      <c r="V107" s="59">
        <v>0.31</v>
      </c>
      <c r="X107">
        <f t="shared" si="31"/>
        <v>1</v>
      </c>
      <c r="Y107" s="2">
        <v>0.1</v>
      </c>
      <c r="Z107" s="2">
        <f>IF(K107&gt;0,F107/K107/X107*Conversion!$E$18,0)*Y107</f>
        <v>18240564.476307448</v>
      </c>
      <c r="AA107" s="2">
        <f>IF(L107&gt;0,G107/L107/X107*Conversion!$E$18,0)*Y107</f>
        <v>0</v>
      </c>
      <c r="AB107" s="2">
        <f t="shared" si="32"/>
        <v>5654574.987655309</v>
      </c>
      <c r="AC107" s="2">
        <f>(F107*T107)/365.26/Agriculture!$D$2</f>
        <v>470.68623549378475</v>
      </c>
      <c r="AD107" s="3">
        <f>SUM(Z107:AA107)*Conversion!$F$19</f>
        <v>4507.4258877403336</v>
      </c>
      <c r="AE107">
        <f t="shared" si="34"/>
        <v>55.5</v>
      </c>
      <c r="AF107" s="3">
        <f t="shared" si="22"/>
        <v>250162.13676958851</v>
      </c>
    </row>
    <row r="108" spans="1:32" ht="18">
      <c r="A108" t="s">
        <v>357</v>
      </c>
      <c r="B108">
        <v>9</v>
      </c>
      <c r="C108">
        <v>0</v>
      </c>
      <c r="D108">
        <f t="shared" si="33"/>
        <v>0</v>
      </c>
      <c r="F108" s="2">
        <f>IF(D108&gt;0,D108*Agriculture!$D$2+Agriculture!$E$16*E108,IF(E108&gt;0,0,Agriculture!$D$2*0.025))</f>
        <v>25000</v>
      </c>
      <c r="G108" s="2">
        <f>L108*1/Agriculture!$C$49*Agriculture!$E$16</f>
        <v>0</v>
      </c>
      <c r="H108" t="s">
        <v>382</v>
      </c>
      <c r="I108">
        <v>3379</v>
      </c>
      <c r="K108" s="48">
        <f>IF(I108&gt;0,I108,J108/2000*Conversion!$D$23)</f>
        <v>3379</v>
      </c>
      <c r="O108" s="59">
        <v>14.57</v>
      </c>
      <c r="P108" s="59">
        <v>2.4300000000000002</v>
      </c>
      <c r="Q108" s="59">
        <v>51.77</v>
      </c>
      <c r="R108" s="59">
        <v>70.19</v>
      </c>
      <c r="S108" s="59">
        <v>1182</v>
      </c>
      <c r="T108" s="60">
        <f t="shared" si="30"/>
        <v>8268.4</v>
      </c>
      <c r="U108" s="60"/>
      <c r="V108" s="59">
        <v>0.31</v>
      </c>
      <c r="X108">
        <f t="shared" si="31"/>
        <v>1</v>
      </c>
      <c r="Y108" s="2">
        <v>0.1</v>
      </c>
      <c r="Z108" s="2">
        <f>IF(K108&gt;0,F108/K108/X108*Conversion!$E$18,0)*Y108</f>
        <v>7398.6386504883112</v>
      </c>
      <c r="AA108" s="2">
        <f>IF(L108&gt;0,G108/L108/X108*Conversion!$E$18,0)*Y108</f>
        <v>0</v>
      </c>
      <c r="AB108" s="2">
        <f t="shared" si="32"/>
        <v>2293.5779816513764</v>
      </c>
      <c r="AC108" s="2">
        <f>(F108*T108)/365.26/Agriculture!$D$2</f>
        <v>0.56592564200843243</v>
      </c>
      <c r="AD108" s="3">
        <f>SUM(Z108:AA108)*Conversion!$F$19</f>
        <v>1.8282775969221665</v>
      </c>
      <c r="AE108">
        <f t="shared" si="34"/>
        <v>55.5</v>
      </c>
      <c r="AF108" s="3">
        <f t="shared" si="22"/>
        <v>101.46940662918024</v>
      </c>
    </row>
    <row r="109" spans="1:32" ht="18">
      <c r="A109" t="s">
        <v>361</v>
      </c>
      <c r="B109">
        <v>9</v>
      </c>
      <c r="C109">
        <v>0</v>
      </c>
      <c r="D109">
        <f t="shared" si="33"/>
        <v>0</v>
      </c>
      <c r="F109" s="2">
        <f>IF(D109&gt;0,D109*Agriculture!$D$2+Agriculture!$E$16*E109,IF(E109&gt;0,0,Agriculture!$D$2*0.025))</f>
        <v>25000</v>
      </c>
      <c r="G109" s="2">
        <f>L109*1/Agriculture!$C$49*Agriculture!$E$16</f>
        <v>0</v>
      </c>
      <c r="H109" t="s">
        <v>382</v>
      </c>
      <c r="I109">
        <v>1700</v>
      </c>
      <c r="K109" s="48">
        <f>IF(I109&gt;0,I109,J109/2000*Conversion!$D$23)</f>
        <v>1700</v>
      </c>
      <c r="O109" s="59">
        <v>13.3</v>
      </c>
      <c r="P109" s="59">
        <v>2.38</v>
      </c>
      <c r="Q109" s="59">
        <v>45</v>
      </c>
      <c r="R109" s="59">
        <v>73.13</v>
      </c>
      <c r="S109" s="59">
        <v>605</v>
      </c>
      <c r="T109" s="60">
        <f t="shared" si="30"/>
        <v>7721.4</v>
      </c>
      <c r="U109" s="60"/>
      <c r="V109" s="59">
        <v>0.31</v>
      </c>
      <c r="X109">
        <f t="shared" si="31"/>
        <v>1</v>
      </c>
      <c r="Y109" s="2">
        <v>0.1</v>
      </c>
      <c r="Z109" s="2">
        <f>IF(K109&gt;0,F109/K109/X109*Conversion!$E$18,0)*Y109</f>
        <v>14705.882352941175</v>
      </c>
      <c r="AA109" s="2">
        <f>IF(L109&gt;0,G109/L109/X109*Conversion!$E$18,0)*Y109</f>
        <v>0</v>
      </c>
      <c r="AB109" s="2">
        <f t="shared" si="32"/>
        <v>4558.823529411764</v>
      </c>
      <c r="AC109" s="2">
        <f>(F109*T109)/365.26/Agriculture!$D$2</f>
        <v>0.5284865575206702</v>
      </c>
      <c r="AD109" s="3">
        <f>SUM(Z109:AA109)*Conversion!$F$19</f>
        <v>3.6339705882352935</v>
      </c>
      <c r="AE109">
        <f t="shared" si="34"/>
        <v>55.5</v>
      </c>
      <c r="AF109" s="3">
        <f t="shared" si="22"/>
        <v>201.6853676470588</v>
      </c>
    </row>
    <row r="110" spans="1:32" ht="18">
      <c r="A110" t="s">
        <v>362</v>
      </c>
      <c r="B110">
        <v>9</v>
      </c>
      <c r="C110">
        <v>0</v>
      </c>
      <c r="D110">
        <f t="shared" si="33"/>
        <v>0</v>
      </c>
      <c r="F110" s="2">
        <f>IF(D110&gt;0,D110*Agriculture!$D$2+Agriculture!$E$16*E110,IF(E110&gt;0,0,Agriculture!$D$2*0.025))</f>
        <v>25000</v>
      </c>
      <c r="G110" s="2">
        <f>L110*1/Agriculture!$C$49*Agriculture!$E$16</f>
        <v>0</v>
      </c>
      <c r="H110" t="s">
        <v>382</v>
      </c>
      <c r="I110">
        <v>3602</v>
      </c>
      <c r="K110" s="48">
        <f>IF(I110&gt;0,I110,J110/2000*Conversion!$D$23)</f>
        <v>3602</v>
      </c>
      <c r="O110" s="59">
        <v>13.05</v>
      </c>
      <c r="P110" s="59">
        <v>2.09</v>
      </c>
      <c r="Q110" s="59">
        <v>43.68</v>
      </c>
      <c r="R110" s="59">
        <v>72.13</v>
      </c>
      <c r="S110" s="59">
        <v>1256</v>
      </c>
      <c r="T110" s="60">
        <f t="shared" si="30"/>
        <v>7526.5</v>
      </c>
      <c r="U110" s="60"/>
      <c r="V110" s="59">
        <v>2.5</v>
      </c>
      <c r="X110">
        <f t="shared" si="31"/>
        <v>1</v>
      </c>
      <c r="Y110" s="2">
        <v>0.1</v>
      </c>
      <c r="Z110" s="2">
        <f>IF(K110&gt;0,F110/K110/X110*Conversion!$E$18,0)*Y110</f>
        <v>6940.5885619100509</v>
      </c>
      <c r="AA110" s="2">
        <f>IF(L110&gt;0,G110/L110/X110*Conversion!$E$18,0)*Y110</f>
        <v>0</v>
      </c>
      <c r="AB110" s="2">
        <f t="shared" si="32"/>
        <v>17351.471404775126</v>
      </c>
      <c r="AC110" s="2">
        <f>(F110*T110)/365.26/Agriculture!$D$2</f>
        <v>0.51514674478453704</v>
      </c>
      <c r="AD110" s="3">
        <f>SUM(Z110:AA110)*Conversion!$F$19</f>
        <v>1.7150888395335926</v>
      </c>
      <c r="AE110">
        <f t="shared" si="34"/>
        <v>55.5</v>
      </c>
      <c r="AF110" s="3">
        <f t="shared" ref="AF110:AF119" si="35">X110*AD110*AE110</f>
        <v>95.187430594114389</v>
      </c>
    </row>
    <row r="111" spans="1:32" ht="18">
      <c r="A111" t="s">
        <v>85</v>
      </c>
      <c r="B111">
        <v>9</v>
      </c>
      <c r="C111">
        <v>1</v>
      </c>
      <c r="D111">
        <f t="shared" si="33"/>
        <v>47.826760056878129</v>
      </c>
      <c r="F111" s="2">
        <f>IF(D111&gt;0,D111*Agriculture!$D$2+Agriculture!$E$16*E111,IF(E111&gt;0,0,Agriculture!$D$2*0.025))</f>
        <v>47826760.056878127</v>
      </c>
      <c r="G111" s="2">
        <f>L111*1/Agriculture!$C$49*Agriculture!$E$16</f>
        <v>0</v>
      </c>
      <c r="I111">
        <v>3086</v>
      </c>
      <c r="K111" s="48">
        <f>IF(I111&gt;0,I111,J111/2000*Conversion!$D$23)</f>
        <v>3086</v>
      </c>
      <c r="O111" s="59">
        <v>13.7</v>
      </c>
      <c r="P111" s="59">
        <v>1.87</v>
      </c>
      <c r="Q111" s="59">
        <v>0</v>
      </c>
      <c r="R111" s="59">
        <v>72.569999999999993</v>
      </c>
      <c r="S111" s="59">
        <v>1083</v>
      </c>
      <c r="T111" s="60">
        <f t="shared" si="30"/>
        <v>3619.0999999999995</v>
      </c>
      <c r="U111" s="60"/>
      <c r="V111">
        <v>2.5</v>
      </c>
      <c r="W111">
        <v>1</v>
      </c>
      <c r="X111">
        <f t="shared" si="31"/>
        <v>1</v>
      </c>
      <c r="Y111" s="2">
        <v>0.1</v>
      </c>
      <c r="Z111" s="2">
        <f>IF(K111&gt;0,F111/K111/X111*Conversion!$E$18,0)*Y111</f>
        <v>15497977.98343426</v>
      </c>
      <c r="AA111" s="2">
        <f>IF(L111&gt;0,G111/L111/X111*Conversion!$E$18,0)*Y111</f>
        <v>0</v>
      </c>
      <c r="AB111" s="2">
        <f t="shared" si="32"/>
        <v>38744944.95858565</v>
      </c>
      <c r="AC111" s="2">
        <f>(F111*T111)/365.26/Agriculture!$D$2</f>
        <v>473.88114581899907</v>
      </c>
      <c r="AD111" s="3">
        <f>SUM(Z111:AA111)*Conversion!$F$19</f>
        <v>3829.7053394864397</v>
      </c>
      <c r="AE111">
        <f t="shared" si="34"/>
        <v>55.5</v>
      </c>
      <c r="AF111" s="3">
        <f t="shared" si="35"/>
        <v>212548.6463414974</v>
      </c>
    </row>
    <row r="112" spans="1:32" ht="18">
      <c r="A112" t="s">
        <v>363</v>
      </c>
      <c r="B112">
        <v>9</v>
      </c>
      <c r="C112">
        <v>0.5</v>
      </c>
      <c r="D112">
        <f t="shared" si="33"/>
        <v>23.913380028439065</v>
      </c>
      <c r="F112" s="2">
        <f>IF(D112&gt;0,D112*Agriculture!$D$2+Agriculture!$E$16*E112,IF(E112&gt;0,0,Agriculture!$D$2*0.025))</f>
        <v>23913380.028439064</v>
      </c>
      <c r="G112" s="2">
        <f>L112*1/Agriculture!$C$49*Agriculture!$E$16</f>
        <v>0</v>
      </c>
      <c r="I112">
        <v>600</v>
      </c>
      <c r="K112" s="48">
        <f>IF(I112&gt;0,I112,J112/2000*Conversion!$D$23)</f>
        <v>600</v>
      </c>
      <c r="O112" s="59">
        <v>14.73</v>
      </c>
      <c r="P112" s="59">
        <v>1.08</v>
      </c>
      <c r="Q112" s="59">
        <v>27.7</v>
      </c>
      <c r="R112" s="59">
        <v>74.900000000000006</v>
      </c>
      <c r="S112" s="59">
        <v>214</v>
      </c>
      <c r="T112" s="60">
        <f t="shared" si="30"/>
        <v>6175.4000000000005</v>
      </c>
      <c r="U112" s="60"/>
      <c r="V112" s="59">
        <v>0.31</v>
      </c>
      <c r="X112">
        <f t="shared" si="31"/>
        <v>1</v>
      </c>
      <c r="Y112" s="2">
        <v>0.1</v>
      </c>
      <c r="Z112" s="2">
        <f>IF(K112&gt;0,F112/K112/X112*Conversion!$E$18,0)*Y112</f>
        <v>39855633.380731776</v>
      </c>
      <c r="AA112" s="2">
        <f>IF(L112&gt;0,G112/L112/X112*Conversion!$E$18,0)*Y112</f>
        <v>0</v>
      </c>
      <c r="AB112" s="2">
        <f t="shared" si="32"/>
        <v>12355246.348026851</v>
      </c>
      <c r="AC112" s="2">
        <f>(F112*T112)/365.26/Agriculture!$D$2</f>
        <v>404.3001889821569</v>
      </c>
      <c r="AD112" s="3">
        <f>SUM(Z112:AA112)*Conversion!$F$19</f>
        <v>9848.7255647126294</v>
      </c>
      <c r="AE112">
        <f t="shared" si="34"/>
        <v>55.5</v>
      </c>
      <c r="AF112" s="3">
        <f t="shared" si="35"/>
        <v>546604.26884155092</v>
      </c>
    </row>
    <row r="113" spans="1:33" ht="18">
      <c r="F113" s="2"/>
      <c r="G113" s="2"/>
      <c r="K113" s="48"/>
      <c r="O113" s="59"/>
      <c r="P113" s="59"/>
      <c r="Q113" s="59"/>
      <c r="R113" s="59"/>
      <c r="S113" s="59"/>
      <c r="T113" s="60"/>
      <c r="U113" s="60"/>
      <c r="Y113" s="2">
        <v>0.1</v>
      </c>
      <c r="Z113" s="2"/>
      <c r="AA113" s="2"/>
      <c r="AB113" s="2"/>
      <c r="AC113" s="2"/>
      <c r="AD113" s="3">
        <f>SUM(Z113:AA113)*Conversion!$F$19</f>
        <v>0</v>
      </c>
      <c r="AE113">
        <f t="shared" si="24"/>
        <v>14.8</v>
      </c>
      <c r="AF113" s="3">
        <f t="shared" si="35"/>
        <v>0</v>
      </c>
    </row>
    <row r="114" spans="1:33" ht="18">
      <c r="A114" t="str">
        <f>Agriculture!B34</f>
        <v>Protein - Vegetable</v>
      </c>
      <c r="B114">
        <f>COUNT(B115:B119)</f>
        <v>5</v>
      </c>
      <c r="C114">
        <f>SUM(C115:C119)</f>
        <v>4</v>
      </c>
      <c r="D114">
        <f>Agriculture!G34</f>
        <v>9.7099660633484177</v>
      </c>
      <c r="F114" s="2"/>
      <c r="G114" s="2"/>
      <c r="K114" s="48"/>
      <c r="O114" s="59"/>
      <c r="P114" s="59"/>
      <c r="Q114" s="59"/>
      <c r="R114" s="59"/>
      <c r="S114" s="59"/>
      <c r="T114" s="60"/>
      <c r="U114" s="60"/>
      <c r="Y114" s="2">
        <v>0.1</v>
      </c>
      <c r="Z114" s="2"/>
      <c r="AA114" s="2"/>
      <c r="AB114" s="2"/>
      <c r="AC114" s="2"/>
      <c r="AD114" s="3">
        <f>SUM(Z114:AA114)*Conversion!$F$19</f>
        <v>0</v>
      </c>
      <c r="AE114">
        <f t="shared" si="24"/>
        <v>14.8</v>
      </c>
      <c r="AF114" s="3">
        <f t="shared" si="35"/>
        <v>0</v>
      </c>
    </row>
    <row r="115" spans="1:33" ht="18">
      <c r="A115" t="s">
        <v>97</v>
      </c>
      <c r="B115">
        <v>11</v>
      </c>
      <c r="C115">
        <v>1</v>
      </c>
      <c r="D115">
        <f>$D$114*C115/$C$114</f>
        <v>2.4274915158371044</v>
      </c>
      <c r="E115">
        <v>0.05</v>
      </c>
      <c r="F115" s="2">
        <f>IF(D115&gt;0,D115*Agriculture!$D$2+Agriculture!$E$16*E115,IF(E115&gt;0,0,Agriculture!$D$2*0.025))</f>
        <v>122770500.20849183</v>
      </c>
      <c r="G115" s="2">
        <f>L115*1/Agriculture!$C$49*Agriculture!$E$16</f>
        <v>79784848.772873402</v>
      </c>
      <c r="H115" t="s">
        <v>382</v>
      </c>
      <c r="I115">
        <v>3086</v>
      </c>
      <c r="K115" s="48">
        <f>IF(I115&gt;0,I115,J115/2000*Conversion!$D$23)</f>
        <v>3086</v>
      </c>
      <c r="L115">
        <f>I115</f>
        <v>3086</v>
      </c>
      <c r="O115" s="59">
        <v>13.56</v>
      </c>
      <c r="P115" s="59">
        <v>7.02</v>
      </c>
      <c r="Q115">
        <v>0</v>
      </c>
      <c r="R115" s="59">
        <v>65.25</v>
      </c>
      <c r="S115" s="60">
        <v>1133</v>
      </c>
      <c r="T115" s="60">
        <f>(O115*4+R115*4+P115*9+Q115*9)*10</f>
        <v>3784.2000000000003</v>
      </c>
      <c r="U115" s="60"/>
      <c r="W115">
        <v>1</v>
      </c>
      <c r="X115">
        <f>IF(N115&gt;0,1,IF(M115&gt;0,FLOOR(365.26/M115,0.1),1))</f>
        <v>1</v>
      </c>
      <c r="Y115" s="2">
        <v>0.1</v>
      </c>
      <c r="Z115" s="2">
        <f>IF(K115&gt;0,F115/K115/X115*Conversion!$E$18,0)*Y115</f>
        <v>39783052.562699877</v>
      </c>
      <c r="AA115" s="2">
        <f>IF(L115&gt;0,G115/L115/X115*Conversion!$E$18,0)*Y115</f>
        <v>25853807.120179329</v>
      </c>
      <c r="AB115" s="2">
        <f>(Z115+AA115)*IF(V115&gt;0,V115,1)</f>
        <v>65636859.68287921</v>
      </c>
      <c r="AC115" s="2">
        <f>(F115*T115)/365.26/Agriculture!$D$2</f>
        <v>1271.9381451266902</v>
      </c>
      <c r="AD115" s="3">
        <f>SUM(Z115:AA115)*Conversion!$F$19</f>
        <v>16219.52439623628</v>
      </c>
      <c r="AE115">
        <f t="shared" si="24"/>
        <v>14.8</v>
      </c>
      <c r="AF115" s="3">
        <f t="shared" si="35"/>
        <v>240048.96106429695</v>
      </c>
    </row>
    <row r="116" spans="1:33" ht="18">
      <c r="A116" t="s">
        <v>95</v>
      </c>
      <c r="B116">
        <v>11</v>
      </c>
      <c r="C116">
        <v>1</v>
      </c>
      <c r="D116">
        <f t="shared" ref="D116:D119" si="36">$D$114*C116/$C$114</f>
        <v>2.4274915158371044</v>
      </c>
      <c r="F116" s="2">
        <f>IF(D116&gt;0,D116*Agriculture!$D$2+Agriculture!$E$16*E116,IF(E116&gt;0,0,Agriculture!$D$2*0.025))</f>
        <v>2427491.5158371045</v>
      </c>
      <c r="G116" s="2">
        <f>L116*1/Agriculture!$C$49*Agriculture!$E$16</f>
        <v>0</v>
      </c>
      <c r="H116" t="s">
        <v>382</v>
      </c>
      <c r="I116">
        <v>1554</v>
      </c>
      <c r="K116" s="48">
        <f>IF(I116&gt;0,I116,J116/2000*Conversion!$D$23)</f>
        <v>1554</v>
      </c>
      <c r="O116" s="59">
        <v>25.8</v>
      </c>
      <c r="P116" s="59">
        <v>49.24</v>
      </c>
      <c r="Q116" s="59">
        <v>31.6</v>
      </c>
      <c r="R116" s="59">
        <v>16.13</v>
      </c>
      <c r="S116" s="59">
        <v>923</v>
      </c>
      <c r="T116" s="60">
        <f>(O116*4+R116*4+P116*9+Q116*9)*10</f>
        <v>8952.7999999999993</v>
      </c>
      <c r="U116" s="60"/>
      <c r="W116">
        <v>1</v>
      </c>
      <c r="X116">
        <f>IF(N116&gt;0,1,IF(M116&gt;0,FLOOR(365.26/M116,0.1),1))</f>
        <v>1</v>
      </c>
      <c r="Y116" s="2">
        <v>0.1</v>
      </c>
      <c r="Z116" s="2">
        <f>IF(K116&gt;0,F116/K116/X116*Conversion!$E$18,0)*Y116</f>
        <v>1562092.3525335295</v>
      </c>
      <c r="AA116" s="2">
        <f>IF(L116&gt;0,G116/L116/X116*Conversion!$E$18,0)*Y116</f>
        <v>0</v>
      </c>
      <c r="AB116" s="2">
        <f>(Z116+AA116)*IF(V116&gt;0,V116,1)</f>
        <v>1562092.3525335295</v>
      </c>
      <c r="AC116" s="2">
        <f>(F116*T116)/365.26/Agriculture!$D$2</f>
        <v>59.499660633484169</v>
      </c>
      <c r="AD116" s="3">
        <f>SUM(Z116:AA116)*Conversion!$F$19</f>
        <v>386.00864123456046</v>
      </c>
      <c r="AE116">
        <f t="shared" si="24"/>
        <v>14.8</v>
      </c>
      <c r="AF116" s="3">
        <f t="shared" si="35"/>
        <v>5712.927890271495</v>
      </c>
    </row>
    <row r="117" spans="1:33" ht="18">
      <c r="A117" t="s">
        <v>353</v>
      </c>
      <c r="B117">
        <v>11</v>
      </c>
      <c r="D117">
        <f t="shared" si="36"/>
        <v>0</v>
      </c>
      <c r="F117" s="2">
        <f>IF(D117&gt;0,D117*Agriculture!$D$2+Agriculture!$E$16*E117,IF(E117&gt;0,0,Agriculture!$D$2*0.025))</f>
        <v>25000</v>
      </c>
      <c r="G117" s="2">
        <f>L117*1/Agriculture!$C$49*Agriculture!$E$16</f>
        <v>0</v>
      </c>
      <c r="H117" t="s">
        <v>382</v>
      </c>
      <c r="I117">
        <v>4000</v>
      </c>
      <c r="K117" s="48">
        <f>IF(I117&gt;0,I117,J117/2000*Conversion!$D$23)</f>
        <v>4000</v>
      </c>
      <c r="O117" s="59">
        <v>28.5</v>
      </c>
      <c r="P117" s="59">
        <v>54.8</v>
      </c>
      <c r="Q117" s="59">
        <v>82</v>
      </c>
      <c r="R117" s="59">
        <v>17.7</v>
      </c>
      <c r="S117" s="59">
        <v>2638</v>
      </c>
      <c r="T117" s="60">
        <f>(O117*4+R117*4+P117*9+Q117*9)*10</f>
        <v>14160</v>
      </c>
      <c r="U117" s="60"/>
      <c r="X117">
        <f>IF(N117&gt;0,1,IF(M117&gt;0,FLOOR(365.26/M117,0.1),1))</f>
        <v>1</v>
      </c>
      <c r="Y117" s="2">
        <v>0.1</v>
      </c>
      <c r="Z117" s="2">
        <f>IF(K117&gt;0,F117/K117/X117*Conversion!$E$18,0)*Y117</f>
        <v>6250</v>
      </c>
      <c r="AA117" s="2">
        <f>IF(L117&gt;0,G117/L117/X117*Conversion!$E$18,0)*Y117</f>
        <v>0</v>
      </c>
      <c r="AB117" s="2">
        <f>(Z117+AA117)*IF(V117&gt;0,V117,1)</f>
        <v>6250</v>
      </c>
      <c r="AC117" s="2">
        <f>(F117*T117)/365.26/Agriculture!$D$2</f>
        <v>0.96917264414389759</v>
      </c>
      <c r="AD117" s="3">
        <f>SUM(Z117:AA117)*Conversion!$F$19</f>
        <v>1.5444374999999999</v>
      </c>
      <c r="AE117">
        <f t="shared" si="24"/>
        <v>14.8</v>
      </c>
      <c r="AF117" s="3">
        <f t="shared" si="35"/>
        <v>22.857675</v>
      </c>
    </row>
    <row r="118" spans="1:33" ht="18">
      <c r="A118" t="s">
        <v>356</v>
      </c>
      <c r="B118">
        <v>11</v>
      </c>
      <c r="C118">
        <v>1</v>
      </c>
      <c r="D118">
        <f t="shared" si="36"/>
        <v>2.4274915158371044</v>
      </c>
      <c r="F118" s="2">
        <f>IF(D118&gt;0,D118*Agriculture!$D$2+Agriculture!$E$16*E118,IF(E118&gt;0,0,Agriculture!$D$2*0.025))</f>
        <v>2427491.5158371045</v>
      </c>
      <c r="G118" s="2">
        <f>L118*1/Agriculture!$C$49*Agriculture!$E$16</f>
        <v>0</v>
      </c>
      <c r="H118" t="s">
        <v>382</v>
      </c>
      <c r="I118">
        <v>1459</v>
      </c>
      <c r="K118" s="48">
        <f>IF(I118&gt;0,I118,J118/2000*Conversion!$D$23)</f>
        <v>1459</v>
      </c>
      <c r="O118" s="59">
        <v>11.3</v>
      </c>
      <c r="P118" s="59">
        <v>3.3</v>
      </c>
      <c r="Q118" s="59">
        <v>0</v>
      </c>
      <c r="R118" s="59">
        <v>74.63</v>
      </c>
      <c r="S118" s="59">
        <v>529</v>
      </c>
      <c r="T118" s="60">
        <f>(O118*4+R118*4+P118*9+Q118*9)*10</f>
        <v>3734.2</v>
      </c>
      <c r="U118" s="60"/>
      <c r="X118">
        <f>IF(N118&gt;0,1,IF(M118&gt;0,FLOOR(365.26/M118,0.1),1))</f>
        <v>1</v>
      </c>
      <c r="Y118" s="2">
        <v>0.1</v>
      </c>
      <c r="Z118" s="2">
        <f>IF(K118&gt;0,F118/K118/X118*Conversion!$E$18,0)*Y118</f>
        <v>1663805.0142817716</v>
      </c>
      <c r="AA118" s="2">
        <f>IF(L118&gt;0,G118/L118/X118*Conversion!$E$18,0)*Y118</f>
        <v>0</v>
      </c>
      <c r="AB118" s="2">
        <f>(Z118+AA118)*IF(V118&gt;0,V118,1)</f>
        <v>1663805.0142817716</v>
      </c>
      <c r="AC118" s="2">
        <f>(F118*T118)/365.26/Agriculture!$D$2</f>
        <v>24.817222850678739</v>
      </c>
      <c r="AD118" s="3">
        <f>SUM(Z118:AA118)*Conversion!$F$19</f>
        <v>411.14285707916855</v>
      </c>
      <c r="AE118">
        <f>46.7+18.2+17.6+6.7+24.4+10.5+9.4</f>
        <v>133.5</v>
      </c>
      <c r="AF118" s="3">
        <f t="shared" si="35"/>
        <v>54887.571420068998</v>
      </c>
    </row>
    <row r="119" spans="1:33" ht="18">
      <c r="A119" t="s">
        <v>98</v>
      </c>
      <c r="B119">
        <v>11</v>
      </c>
      <c r="C119">
        <v>1</v>
      </c>
      <c r="D119">
        <f t="shared" si="36"/>
        <v>2.4274915158371044</v>
      </c>
      <c r="F119" s="2">
        <f>IF(D119&gt;0,D119*Agriculture!$D$2+Agriculture!$E$16*E119,IF(E119&gt;0,0,Agriculture!$D$2*0.025))</f>
        <v>2427491.5158371045</v>
      </c>
      <c r="G119" s="2">
        <f>L119*1/Agriculture!$C$49*Agriculture!$E$16</f>
        <v>0</v>
      </c>
      <c r="H119" t="s">
        <v>382</v>
      </c>
      <c r="I119">
        <v>2384</v>
      </c>
      <c r="K119" s="48">
        <f>IF(I119&gt;0,I119,J119/2000*Conversion!$D$23)</f>
        <v>2384</v>
      </c>
      <c r="O119" s="59">
        <v>36.49</v>
      </c>
      <c r="P119" s="59">
        <v>19.940000000000001</v>
      </c>
      <c r="Q119" s="59">
        <v>57</v>
      </c>
      <c r="R119" s="59">
        <v>30.16</v>
      </c>
      <c r="S119" s="59">
        <v>529</v>
      </c>
      <c r="T119" s="60">
        <f>(O119*4+R119*4+P119*9+Q119*9)*10</f>
        <v>9590.6</v>
      </c>
      <c r="U119" s="60"/>
      <c r="W119">
        <v>1</v>
      </c>
      <c r="X119">
        <f>IF(N119&gt;0,1,IF(M119&gt;0,FLOOR(365.26/M119,0.1),1))</f>
        <v>1</v>
      </c>
      <c r="Y119" s="2">
        <v>0.1</v>
      </c>
      <c r="Z119" s="2">
        <f>IF(K119&gt;0,F119/K119/X119*Conversion!$E$18,0)*Y119</f>
        <v>1018243.0855021412</v>
      </c>
      <c r="AA119" s="2">
        <f>IF(L119&gt;0,G119/L119/X119*Conversion!$E$18,0)*Y119</f>
        <v>0</v>
      </c>
      <c r="AB119" s="2">
        <f>(Z119+AA119)*IF(V119&gt;0,V119,1)</f>
        <v>1018243.0855021412</v>
      </c>
      <c r="AC119" s="2">
        <f>(F119*T119)/365.26/Agriculture!$D$2</f>
        <v>63.738433257918565</v>
      </c>
      <c r="AD119" s="3">
        <f>SUM(Z119:AA119)*Conversion!$F$19</f>
        <v>251.61804885843409</v>
      </c>
      <c r="AE119">
        <f t="shared" si="24"/>
        <v>14.8</v>
      </c>
      <c r="AF119" s="3">
        <f t="shared" si="35"/>
        <v>3723.9471231048246</v>
      </c>
    </row>
    <row r="120" spans="1:33" ht="18">
      <c r="H120" s="59"/>
      <c r="I120" s="59"/>
      <c r="J120" s="59"/>
      <c r="K120" s="59"/>
      <c r="L120" s="59"/>
      <c r="M120" s="59"/>
      <c r="N120" s="59"/>
      <c r="O120" s="59"/>
    </row>
    <row r="121" spans="1:33">
      <c r="A121" t="s">
        <v>228</v>
      </c>
    </row>
    <row r="122" spans="1:33">
      <c r="E122" s="2"/>
    </row>
    <row r="123" spans="1:33">
      <c r="A123" t="s">
        <v>267</v>
      </c>
      <c r="G123">
        <f>Cattle!D8</f>
        <v>2290075443.4320002</v>
      </c>
    </row>
    <row r="124" spans="1:33">
      <c r="A124" t="s">
        <v>268</v>
      </c>
      <c r="Q124" s="2"/>
      <c r="R124" s="2"/>
      <c r="V124">
        <v>0.31</v>
      </c>
    </row>
    <row r="125" spans="1:33">
      <c r="A125" t="s">
        <v>231</v>
      </c>
      <c r="D125">
        <v>0.7</v>
      </c>
      <c r="G125">
        <f>G123*D125</f>
        <v>1603052810.4024</v>
      </c>
      <c r="Q125" s="2"/>
      <c r="R125" s="2"/>
      <c r="V125">
        <v>0.31</v>
      </c>
    </row>
    <row r="126" spans="1:33">
      <c r="A126" t="s">
        <v>236</v>
      </c>
      <c r="G126" s="2">
        <f>IF((G127+G128)&lt;G125,(G125-(G127+G128))/I126,0)</f>
        <v>214756.29434319999</v>
      </c>
      <c r="I126">
        <f>3500*2</f>
        <v>7000</v>
      </c>
      <c r="K126">
        <f>3500*2</f>
        <v>7000</v>
      </c>
      <c r="O126">
        <v>0.5</v>
      </c>
      <c r="Q126" s="2">
        <f>S126*10000000*IF(O126&gt;0,O126,3)</f>
        <v>1533973.5310228569</v>
      </c>
      <c r="R126" s="2"/>
      <c r="S126">
        <f>G126/(I126*Conversion!$D$17)</f>
        <v>0.30679470620457139</v>
      </c>
      <c r="V126">
        <v>0.31</v>
      </c>
      <c r="W126">
        <v>1</v>
      </c>
      <c r="X126">
        <f>IF(N126&gt;0,1,IF(M126&gt;0,FLOOR(365.26/M126,0.1),1))</f>
        <v>1</v>
      </c>
      <c r="Y126" s="2"/>
      <c r="Z126" s="2">
        <f>IF(K126&gt;0,F126/K126/X126*Conversion!$E$18,0)*Y126</f>
        <v>0</v>
      </c>
      <c r="AA126" s="2">
        <f>IF(L126&gt;0,G126/L126/X126*Conversion!$E$18,0)*Y126</f>
        <v>0</v>
      </c>
      <c r="AB126" s="2">
        <f>(Z126+AA126)*IF(V126&gt;0,V126,1)</f>
        <v>0</v>
      </c>
      <c r="AC126" s="2">
        <f>(H126*T126)/365.26/Agriculture!$D$2</f>
        <v>0</v>
      </c>
      <c r="AD126" s="3">
        <f>SUM(Z126:AA126)*Conversion!$F$19</f>
        <v>0</v>
      </c>
      <c r="AE126">
        <f t="shared" ref="AE126" si="37">1.5+9.4+3.9</f>
        <v>14.8</v>
      </c>
      <c r="AF126" s="3">
        <f>X126*AD126*AE126</f>
        <v>0</v>
      </c>
      <c r="AG126" t="s">
        <v>233</v>
      </c>
    </row>
    <row r="127" spans="1:33">
      <c r="A127" t="s">
        <v>238</v>
      </c>
      <c r="G127" s="2">
        <f>J127*0.0001*I127</f>
        <v>8750</v>
      </c>
      <c r="I127">
        <v>3500</v>
      </c>
      <c r="J127">
        <f>Habitat!I14</f>
        <v>25000</v>
      </c>
      <c r="K127">
        <v>3500</v>
      </c>
      <c r="O127">
        <v>0.5</v>
      </c>
      <c r="Q127" s="2"/>
      <c r="R127" s="2"/>
      <c r="S127" s="2"/>
      <c r="V127">
        <v>0.31</v>
      </c>
    </row>
    <row r="128" spans="1:33">
      <c r="A128" t="s">
        <v>237</v>
      </c>
      <c r="G128" s="2">
        <f>J128*0.0001*I128*0.5</f>
        <v>99750000</v>
      </c>
      <c r="I128">
        <v>3500</v>
      </c>
      <c r="J128">
        <f>Habitat!I17*0.75</f>
        <v>570000000</v>
      </c>
      <c r="K128">
        <v>3500</v>
      </c>
      <c r="O128">
        <v>0.5</v>
      </c>
      <c r="Q128" s="2"/>
      <c r="R128" s="2"/>
      <c r="V128">
        <v>0.31</v>
      </c>
    </row>
    <row r="129" spans="1:33">
      <c r="A129" t="s">
        <v>229</v>
      </c>
      <c r="G129" s="2">
        <f>(D6+D14+D17)*Agriculture!D2</f>
        <v>41636108.527131781</v>
      </c>
      <c r="O129">
        <v>0.5</v>
      </c>
      <c r="Q129" s="2"/>
      <c r="R129" s="2"/>
      <c r="V129">
        <v>0.31</v>
      </c>
      <c r="AG129" t="s">
        <v>232</v>
      </c>
    </row>
  </sheetData>
  <sortState ref="A17:AJ119">
    <sortCondition ref="B17:B119"/>
    <sortCondition ref="A17:A119"/>
  </sortState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9450-562D-2D40-BB76-707A09BB98FE}">
  <dimension ref="A1:P24"/>
  <sheetViews>
    <sheetView workbookViewId="0"/>
  </sheetViews>
  <sheetFormatPr baseColWidth="10" defaultRowHeight="16"/>
  <cols>
    <col min="1" max="1" width="18.6640625" bestFit="1" customWidth="1"/>
  </cols>
  <sheetData>
    <row r="1" spans="1:16">
      <c r="A1" t="s">
        <v>445</v>
      </c>
      <c r="B1" t="s">
        <v>459</v>
      </c>
    </row>
    <row r="2" spans="1:16">
      <c r="A2" t="s">
        <v>456</v>
      </c>
      <c r="B2" t="s">
        <v>430</v>
      </c>
    </row>
    <row r="3" spans="1:16">
      <c r="A3" t="s">
        <v>457</v>
      </c>
      <c r="B3" t="s">
        <v>458</v>
      </c>
    </row>
    <row r="4" spans="1:16">
      <c r="J4" s="5"/>
    </row>
    <row r="5" spans="1:16">
      <c r="B5" t="s">
        <v>450</v>
      </c>
      <c r="E5">
        <f>AVERAGE(E9:E14)</f>
        <v>3316.6666666666665</v>
      </c>
      <c r="G5">
        <f>AVERAGE(G9:G21)</f>
        <v>54.307692307692307</v>
      </c>
      <c r="H5">
        <f>AVERAGE(H9:H15)</f>
        <v>377.57142857142856</v>
      </c>
      <c r="I5">
        <f>AVERAGE(I9:I16)</f>
        <v>666.75</v>
      </c>
      <c r="J5">
        <f>AVERAGE(J9:J17)</f>
        <v>470</v>
      </c>
      <c r="K5">
        <f>AVERAGE(K9:K14)</f>
        <v>358.66666666666669</v>
      </c>
      <c r="L5">
        <f>AVERAGE(L9:L18)</f>
        <v>219.8</v>
      </c>
      <c r="M5">
        <f>AVERAGE(M9:M21)</f>
        <v>107.84615384615384</v>
      </c>
      <c r="N5">
        <f>AVERAGE(N9:N21)</f>
        <v>43</v>
      </c>
      <c r="O5">
        <f>AVERAGE(O9:O21)</f>
        <v>1097.9230769230769</v>
      </c>
      <c r="P5">
        <f>AVERAGE(P9:P16)</f>
        <v>157</v>
      </c>
    </row>
    <row r="6" spans="1:16">
      <c r="A6" t="s">
        <v>446</v>
      </c>
      <c r="C6" s="4">
        <v>28</v>
      </c>
      <c r="D6" s="5"/>
      <c r="E6" s="5"/>
      <c r="F6" s="5"/>
      <c r="J6">
        <v>8</v>
      </c>
    </row>
    <row r="7" spans="1:16">
      <c r="A7" t="s">
        <v>447</v>
      </c>
      <c r="C7" s="4"/>
      <c r="D7" s="5"/>
      <c r="E7" s="5"/>
      <c r="F7" s="5"/>
      <c r="G7" t="s">
        <v>480</v>
      </c>
      <c r="J7">
        <v>103</v>
      </c>
    </row>
    <row r="8" spans="1:16">
      <c r="C8" t="s">
        <v>461</v>
      </c>
      <c r="D8" t="s">
        <v>9</v>
      </c>
      <c r="E8" t="s">
        <v>473</v>
      </c>
      <c r="G8" s="63" t="s">
        <v>446</v>
      </c>
      <c r="H8" s="63" t="s">
        <v>447</v>
      </c>
      <c r="I8" s="63" t="s">
        <v>481</v>
      </c>
      <c r="J8" s="63" t="s">
        <v>482</v>
      </c>
      <c r="K8" s="63" t="s">
        <v>483</v>
      </c>
      <c r="L8" s="63" t="s">
        <v>484</v>
      </c>
      <c r="M8" s="63" t="s">
        <v>485</v>
      </c>
      <c r="N8" s="63" t="s">
        <v>486</v>
      </c>
      <c r="O8" s="63" t="s">
        <v>487</v>
      </c>
      <c r="P8" s="63" t="s">
        <v>488</v>
      </c>
    </row>
    <row r="9" spans="1:16">
      <c r="A9" s="4" t="s">
        <v>448</v>
      </c>
      <c r="B9" s="4">
        <v>84.74</v>
      </c>
      <c r="C9" t="s">
        <v>468</v>
      </c>
      <c r="D9">
        <v>2013</v>
      </c>
      <c r="E9">
        <f t="shared" ref="E9:E21" si="0">SUM(G9:P9)</f>
        <v>2726</v>
      </c>
      <c r="F9" s="4" t="str">
        <f t="shared" ref="F9:F21" si="1">A9</f>
        <v>Japan</v>
      </c>
      <c r="G9">
        <v>49</v>
      </c>
      <c r="H9">
        <v>254</v>
      </c>
      <c r="I9">
        <v>506</v>
      </c>
      <c r="J9">
        <v>318</v>
      </c>
      <c r="K9">
        <v>189</v>
      </c>
      <c r="L9">
        <v>124</v>
      </c>
      <c r="M9">
        <v>60</v>
      </c>
      <c r="N9">
        <v>13</v>
      </c>
      <c r="O9">
        <v>1082</v>
      </c>
      <c r="P9">
        <v>131</v>
      </c>
    </row>
    <row r="10" spans="1:16">
      <c r="A10" s="5" t="s">
        <v>449</v>
      </c>
      <c r="B10" s="5">
        <v>82.97</v>
      </c>
      <c r="C10" t="s">
        <v>463</v>
      </c>
      <c r="D10">
        <v>2013</v>
      </c>
      <c r="E10">
        <f t="shared" si="0"/>
        <v>3380</v>
      </c>
      <c r="F10" s="4" t="str">
        <f t="shared" si="1"/>
        <v>Iceland</v>
      </c>
      <c r="G10">
        <v>120</v>
      </c>
      <c r="H10">
        <v>434</v>
      </c>
      <c r="I10">
        <v>457</v>
      </c>
      <c r="J10">
        <v>710</v>
      </c>
      <c r="K10">
        <v>573</v>
      </c>
      <c r="L10">
        <v>196</v>
      </c>
      <c r="M10">
        <v>54</v>
      </c>
      <c r="N10">
        <v>7</v>
      </c>
      <c r="O10">
        <v>698</v>
      </c>
      <c r="P10">
        <v>131</v>
      </c>
    </row>
    <row r="11" spans="1:16" ht="17">
      <c r="A11" s="5" t="s">
        <v>474</v>
      </c>
      <c r="B11" s="62">
        <v>82.15</v>
      </c>
      <c r="C11" t="s">
        <v>475</v>
      </c>
      <c r="D11">
        <v>2013</v>
      </c>
      <c r="E11">
        <f t="shared" si="0"/>
        <v>3276</v>
      </c>
      <c r="F11" s="4" t="str">
        <f t="shared" si="1"/>
        <v>Australia</v>
      </c>
      <c r="G11">
        <v>68</v>
      </c>
      <c r="H11">
        <v>384</v>
      </c>
      <c r="I11">
        <v>774</v>
      </c>
      <c r="J11">
        <v>517</v>
      </c>
      <c r="K11">
        <v>371</v>
      </c>
      <c r="L11">
        <v>183</v>
      </c>
      <c r="M11">
        <v>90</v>
      </c>
      <c r="N11">
        <v>12</v>
      </c>
      <c r="O11">
        <v>741</v>
      </c>
      <c r="P11">
        <v>136</v>
      </c>
    </row>
    <row r="12" spans="1:16">
      <c r="A12" s="5" t="s">
        <v>451</v>
      </c>
      <c r="B12" s="5">
        <v>81.760000000000005</v>
      </c>
      <c r="C12" t="s">
        <v>462</v>
      </c>
      <c r="D12">
        <v>2013</v>
      </c>
      <c r="E12">
        <f t="shared" si="0"/>
        <v>3494</v>
      </c>
      <c r="F12" s="4" t="str">
        <f t="shared" si="1"/>
        <v>Canada</v>
      </c>
      <c r="G12">
        <v>45</v>
      </c>
      <c r="H12">
        <v>434</v>
      </c>
      <c r="I12">
        <v>919</v>
      </c>
      <c r="J12">
        <v>390</v>
      </c>
      <c r="K12">
        <v>242</v>
      </c>
      <c r="L12">
        <v>214</v>
      </c>
      <c r="M12">
        <v>120</v>
      </c>
      <c r="N12">
        <v>115</v>
      </c>
      <c r="O12">
        <v>909</v>
      </c>
      <c r="P12">
        <v>106</v>
      </c>
    </row>
    <row r="13" spans="1:16" ht="17">
      <c r="A13" s="5" t="s">
        <v>465</v>
      </c>
      <c r="B13" s="62">
        <v>80.680000000000007</v>
      </c>
      <c r="C13" t="s">
        <v>466</v>
      </c>
      <c r="D13">
        <v>2013</v>
      </c>
      <c r="E13">
        <f t="shared" si="0"/>
        <v>3600</v>
      </c>
      <c r="F13" s="4" t="str">
        <f t="shared" si="1"/>
        <v>Ireland</v>
      </c>
      <c r="G13">
        <v>48</v>
      </c>
      <c r="H13">
        <v>395</v>
      </c>
      <c r="I13">
        <v>551</v>
      </c>
      <c r="J13">
        <v>439</v>
      </c>
      <c r="K13">
        <v>393</v>
      </c>
      <c r="L13">
        <v>211</v>
      </c>
      <c r="M13">
        <v>154</v>
      </c>
      <c r="N13">
        <v>31</v>
      </c>
      <c r="O13">
        <v>1073</v>
      </c>
      <c r="P13">
        <v>305</v>
      </c>
    </row>
    <row r="14" spans="1:16" ht="17">
      <c r="A14" s="5" t="s">
        <v>476</v>
      </c>
      <c r="B14" s="62">
        <v>80.540000000000006</v>
      </c>
      <c r="C14" t="s">
        <v>477</v>
      </c>
      <c r="D14">
        <v>2013</v>
      </c>
      <c r="E14">
        <f t="shared" si="0"/>
        <v>3424</v>
      </c>
      <c r="F14" s="4" t="str">
        <f t="shared" si="1"/>
        <v>United Kingdom</v>
      </c>
      <c r="G14">
        <v>93</v>
      </c>
      <c r="H14">
        <v>394</v>
      </c>
      <c r="I14">
        <v>609</v>
      </c>
      <c r="J14">
        <v>476</v>
      </c>
      <c r="K14">
        <v>384</v>
      </c>
      <c r="L14">
        <v>212</v>
      </c>
      <c r="M14">
        <v>181</v>
      </c>
      <c r="N14">
        <v>32</v>
      </c>
      <c r="O14">
        <v>890</v>
      </c>
      <c r="P14">
        <v>153</v>
      </c>
    </row>
    <row r="15" spans="1:16" ht="17">
      <c r="A15" s="5" t="s">
        <v>478</v>
      </c>
      <c r="B15" s="62">
        <v>80.040000000000006</v>
      </c>
      <c r="C15" t="s">
        <v>479</v>
      </c>
      <c r="D15">
        <v>2013</v>
      </c>
      <c r="E15">
        <f t="shared" si="0"/>
        <v>3334</v>
      </c>
      <c r="F15" s="4" t="str">
        <f t="shared" si="1"/>
        <v>South Korea</v>
      </c>
      <c r="G15">
        <v>47</v>
      </c>
      <c r="H15">
        <v>348</v>
      </c>
      <c r="I15">
        <v>628</v>
      </c>
      <c r="J15">
        <v>388</v>
      </c>
      <c r="K15" s="67">
        <v>85</v>
      </c>
      <c r="L15">
        <v>245</v>
      </c>
      <c r="M15">
        <v>40</v>
      </c>
      <c r="N15">
        <v>12</v>
      </c>
      <c r="O15">
        <v>1406</v>
      </c>
      <c r="P15">
        <v>135</v>
      </c>
    </row>
    <row r="16" spans="1:16">
      <c r="A16" s="5" t="s">
        <v>429</v>
      </c>
      <c r="B16" s="5">
        <v>79.959999999999994</v>
      </c>
      <c r="C16" t="s">
        <v>472</v>
      </c>
      <c r="D16">
        <v>2013</v>
      </c>
      <c r="E16">
        <f t="shared" si="0"/>
        <v>3682</v>
      </c>
      <c r="F16" s="4" t="str">
        <f t="shared" si="1"/>
        <v>United States</v>
      </c>
      <c r="G16">
        <v>30</v>
      </c>
      <c r="H16" s="66">
        <v>600</v>
      </c>
      <c r="I16">
        <v>890</v>
      </c>
      <c r="J16">
        <v>459</v>
      </c>
      <c r="K16">
        <v>424</v>
      </c>
      <c r="L16">
        <v>188</v>
      </c>
      <c r="M16">
        <v>92</v>
      </c>
      <c r="N16">
        <v>39</v>
      </c>
      <c r="O16">
        <v>801</v>
      </c>
      <c r="P16">
        <v>159</v>
      </c>
    </row>
    <row r="17" spans="1:16" ht="17">
      <c r="A17" s="5" t="s">
        <v>453</v>
      </c>
      <c r="B17" s="62">
        <v>75.41</v>
      </c>
      <c r="C17" t="s">
        <v>469</v>
      </c>
      <c r="D17">
        <v>2013</v>
      </c>
      <c r="E17">
        <f t="shared" si="0"/>
        <v>3108</v>
      </c>
      <c r="F17" s="4" t="str">
        <f t="shared" si="1"/>
        <v>China</v>
      </c>
      <c r="G17">
        <v>25</v>
      </c>
      <c r="H17" s="67">
        <v>71</v>
      </c>
      <c r="I17" s="67">
        <v>334</v>
      </c>
      <c r="J17">
        <v>533</v>
      </c>
      <c r="K17" s="67">
        <v>134</v>
      </c>
      <c r="L17">
        <v>335</v>
      </c>
      <c r="M17">
        <v>152</v>
      </c>
      <c r="N17">
        <v>12</v>
      </c>
      <c r="O17">
        <v>1417</v>
      </c>
      <c r="P17" s="67">
        <v>95</v>
      </c>
    </row>
    <row r="18" spans="1:16" ht="17">
      <c r="A18" s="5" t="s">
        <v>467</v>
      </c>
      <c r="B18" s="62">
        <v>75.05</v>
      </c>
      <c r="C18" t="s">
        <v>471</v>
      </c>
      <c r="D18">
        <v>2013</v>
      </c>
      <c r="E18">
        <f t="shared" si="0"/>
        <v>3255</v>
      </c>
      <c r="F18" s="4" t="str">
        <f t="shared" si="1"/>
        <v>Saudi Arabia</v>
      </c>
      <c r="G18">
        <v>110</v>
      </c>
      <c r="H18" s="67">
        <v>308</v>
      </c>
      <c r="I18" s="5">
        <v>581</v>
      </c>
      <c r="J18" s="64">
        <v>281</v>
      </c>
      <c r="K18" s="67">
        <v>161</v>
      </c>
      <c r="L18">
        <v>290</v>
      </c>
      <c r="M18">
        <v>39</v>
      </c>
      <c r="N18">
        <v>58</v>
      </c>
      <c r="O18">
        <v>1427</v>
      </c>
      <c r="P18" s="67">
        <v>0</v>
      </c>
    </row>
    <row r="19" spans="1:16" ht="17">
      <c r="A19" s="5" t="s">
        <v>452</v>
      </c>
      <c r="B19" s="62">
        <v>70.47</v>
      </c>
      <c r="C19" t="s">
        <v>470</v>
      </c>
      <c r="D19">
        <v>2013</v>
      </c>
      <c r="E19">
        <f t="shared" si="0"/>
        <v>3361</v>
      </c>
      <c r="F19" s="4" t="str">
        <f t="shared" si="1"/>
        <v>Russia</v>
      </c>
      <c r="G19">
        <v>36</v>
      </c>
      <c r="H19" s="67">
        <v>439</v>
      </c>
      <c r="I19" s="5">
        <v>482</v>
      </c>
      <c r="J19" s="64">
        <v>372</v>
      </c>
      <c r="K19" s="67">
        <v>328</v>
      </c>
      <c r="L19" s="67">
        <v>162</v>
      </c>
      <c r="M19">
        <v>207</v>
      </c>
      <c r="N19">
        <v>17</v>
      </c>
      <c r="O19">
        <v>1153</v>
      </c>
      <c r="P19">
        <v>165</v>
      </c>
    </row>
    <row r="20" spans="1:16" ht="17">
      <c r="A20" s="5" t="s">
        <v>454</v>
      </c>
      <c r="B20" s="62">
        <v>68.13</v>
      </c>
      <c r="C20" t="s">
        <v>464</v>
      </c>
      <c r="D20">
        <v>2013</v>
      </c>
      <c r="E20">
        <f t="shared" si="0"/>
        <v>2459</v>
      </c>
      <c r="F20" s="4" t="str">
        <f t="shared" si="1"/>
        <v>India</v>
      </c>
      <c r="G20">
        <v>27</v>
      </c>
      <c r="H20" s="67">
        <v>236</v>
      </c>
      <c r="I20" s="67">
        <v>330</v>
      </c>
      <c r="J20" s="64">
        <v>24</v>
      </c>
      <c r="K20" s="67">
        <v>139</v>
      </c>
      <c r="L20" s="67">
        <v>131</v>
      </c>
      <c r="M20">
        <v>60</v>
      </c>
      <c r="N20">
        <v>137</v>
      </c>
      <c r="O20">
        <v>1361</v>
      </c>
      <c r="P20" s="67">
        <v>14</v>
      </c>
    </row>
    <row r="21" spans="1:16" ht="17">
      <c r="A21" t="s">
        <v>455</v>
      </c>
      <c r="B21" s="62">
        <v>49.81</v>
      </c>
      <c r="C21" s="63" t="s">
        <v>460</v>
      </c>
      <c r="D21" s="63">
        <v>2013</v>
      </c>
      <c r="E21">
        <f t="shared" si="0"/>
        <v>2110</v>
      </c>
      <c r="F21" s="4" t="str">
        <f t="shared" si="1"/>
        <v>Chad</v>
      </c>
      <c r="G21" s="63">
        <v>8</v>
      </c>
      <c r="H21" s="68">
        <v>103</v>
      </c>
      <c r="I21" s="68">
        <v>327</v>
      </c>
      <c r="J21" s="65">
        <v>64</v>
      </c>
      <c r="K21" s="68">
        <v>39</v>
      </c>
      <c r="L21" s="68">
        <v>20</v>
      </c>
      <c r="M21" s="63">
        <v>153</v>
      </c>
      <c r="N21" s="63">
        <v>74</v>
      </c>
      <c r="O21" s="63">
        <v>1315</v>
      </c>
      <c r="P21" s="68">
        <v>7</v>
      </c>
    </row>
    <row r="24" spans="1:16">
      <c r="D24" s="4"/>
    </row>
  </sheetData>
  <pageMargins left="0.7" right="0.7" top="0.75" bottom="0.75" header="0.3" footer="0.3"/>
  <pageSetup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D8BE1-CCD1-364C-B09C-9A3732BA9B99}">
  <dimension ref="A1:J12"/>
  <sheetViews>
    <sheetView workbookViewId="0"/>
  </sheetViews>
  <sheetFormatPr baseColWidth="10" defaultRowHeight="16"/>
  <sheetData>
    <row r="1" spans="1:10">
      <c r="A1" t="s">
        <v>83</v>
      </c>
      <c r="C1" t="e">
        <f>Vehicle!#REF!</f>
        <v>#REF!</v>
      </c>
      <c r="E1" t="e">
        <f>C1*C2</f>
        <v>#REF!</v>
      </c>
    </row>
    <row r="2" spans="1:10">
      <c r="A2" t="s">
        <v>166</v>
      </c>
      <c r="C2">
        <v>14</v>
      </c>
      <c r="D2" t="s">
        <v>33</v>
      </c>
    </row>
    <row r="4" spans="1:10">
      <c r="B4" t="s">
        <v>156</v>
      </c>
      <c r="D4" t="s">
        <v>163</v>
      </c>
      <c r="E4" t="s">
        <v>172</v>
      </c>
      <c r="F4" t="s">
        <v>167</v>
      </c>
      <c r="G4" t="s">
        <v>157</v>
      </c>
      <c r="H4" t="s">
        <v>168</v>
      </c>
      <c r="I4" t="s">
        <v>173</v>
      </c>
      <c r="J4" t="s">
        <v>171</v>
      </c>
    </row>
    <row r="5" spans="1:10">
      <c r="B5" t="s">
        <v>153</v>
      </c>
      <c r="C5" t="s">
        <v>154</v>
      </c>
      <c r="F5" t="s">
        <v>170</v>
      </c>
      <c r="H5" t="s">
        <v>169</v>
      </c>
    </row>
    <row r="6" spans="1:10">
      <c r="A6" t="s">
        <v>152</v>
      </c>
      <c r="B6">
        <f>5.3/1000*365.26</f>
        <v>1.935878</v>
      </c>
      <c r="C6">
        <v>0.5</v>
      </c>
      <c r="D6" t="s">
        <v>164</v>
      </c>
    </row>
    <row r="7" spans="1:10">
      <c r="A7" t="s">
        <v>155</v>
      </c>
      <c r="D7" t="s">
        <v>164</v>
      </c>
    </row>
    <row r="8" spans="1:10">
      <c r="A8" t="s">
        <v>158</v>
      </c>
      <c r="D8" t="s">
        <v>164</v>
      </c>
    </row>
    <row r="9" spans="1:10">
      <c r="A9" t="s">
        <v>159</v>
      </c>
      <c r="B9">
        <v>0.75</v>
      </c>
      <c r="C9">
        <v>1</v>
      </c>
      <c r="D9" t="s">
        <v>165</v>
      </c>
      <c r="E9">
        <v>0.5</v>
      </c>
      <c r="F9">
        <v>50</v>
      </c>
      <c r="G9">
        <f>240/365.26</f>
        <v>0.65706619941959155</v>
      </c>
      <c r="H9" t="e">
        <f>I9/F9</f>
        <v>#REF!</v>
      </c>
      <c r="I9" t="e">
        <f>$C$1*$C$2*B9/E9*G9</f>
        <v>#REF!</v>
      </c>
      <c r="J9" t="e">
        <f>I9*E9/G9</f>
        <v>#REF!</v>
      </c>
    </row>
    <row r="10" spans="1:10">
      <c r="A10" t="s">
        <v>160</v>
      </c>
      <c r="B10">
        <v>0.25</v>
      </c>
      <c r="C10">
        <v>1</v>
      </c>
      <c r="D10" t="s">
        <v>164</v>
      </c>
      <c r="E10">
        <v>0.5</v>
      </c>
      <c r="F10">
        <v>50</v>
      </c>
      <c r="G10">
        <v>2</v>
      </c>
      <c r="H10" t="e">
        <f>I10/F10</f>
        <v>#REF!</v>
      </c>
      <c r="I10" t="e">
        <f>$C$1*$C$2*B10/E10*G10</f>
        <v>#REF!</v>
      </c>
      <c r="J10" t="e">
        <f>I10*E10/G10</f>
        <v>#REF!</v>
      </c>
    </row>
    <row r="11" spans="1:10">
      <c r="A11" t="s">
        <v>161</v>
      </c>
      <c r="D11" t="s">
        <v>165</v>
      </c>
    </row>
    <row r="12" spans="1:10">
      <c r="A12" t="s">
        <v>162</v>
      </c>
      <c r="D12" t="s">
        <v>165</v>
      </c>
    </row>
  </sheetData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29A52-A390-674C-882A-D9471157342F}">
  <dimension ref="A1:AO81"/>
  <sheetViews>
    <sheetView workbookViewId="0"/>
  </sheetViews>
  <sheetFormatPr baseColWidth="10" defaultRowHeight="16"/>
  <cols>
    <col min="2" max="3" width="11" customWidth="1"/>
    <col min="7" max="12" width="8.33203125" customWidth="1"/>
    <col min="15" max="16" width="11.6640625" bestFit="1" customWidth="1"/>
    <col min="17" max="25" width="12.6640625" bestFit="1" customWidth="1"/>
    <col min="26" max="41" width="11.6640625" bestFit="1" customWidth="1"/>
  </cols>
  <sheetData>
    <row r="1" spans="1:7">
      <c r="A1" t="s">
        <v>43</v>
      </c>
    </row>
    <row r="2" spans="1:7">
      <c r="A2" t="s">
        <v>57</v>
      </c>
      <c r="D2">
        <f>Habitat!I23*0.000001*0.9</f>
        <v>5227.4295339958335</v>
      </c>
      <c r="E2" t="s">
        <v>45</v>
      </c>
    </row>
    <row r="3" spans="1:7">
      <c r="A3" t="s">
        <v>103</v>
      </c>
      <c r="D3">
        <v>247.1</v>
      </c>
    </row>
    <row r="4" spans="1:7">
      <c r="A4" t="s">
        <v>104</v>
      </c>
      <c r="D4">
        <v>100</v>
      </c>
    </row>
    <row r="6" spans="1:7">
      <c r="A6" t="s">
        <v>58</v>
      </c>
      <c r="D6">
        <v>0</v>
      </c>
    </row>
    <row r="8" spans="1:7">
      <c r="A8" t="s">
        <v>182</v>
      </c>
      <c r="D8">
        <f>IF(C19&gt;10,C19*D9*365.26,0)</f>
        <v>2290075443.4320002</v>
      </c>
      <c r="F8">
        <f>D8/C19*1000/365.26</f>
        <v>12000</v>
      </c>
    </row>
    <row r="9" spans="1:7">
      <c r="A9" t="s">
        <v>183</v>
      </c>
      <c r="D9">
        <v>12</v>
      </c>
    </row>
    <row r="10" spans="1:7">
      <c r="A10" t="s">
        <v>44</v>
      </c>
      <c r="D10">
        <f>D4/D30</f>
        <v>2.5</v>
      </c>
      <c r="E10" t="s">
        <v>667</v>
      </c>
    </row>
    <row r="11" spans="1:7">
      <c r="A11" t="s">
        <v>44</v>
      </c>
      <c r="D11">
        <f>D10*Conversion!E18</f>
        <v>25000</v>
      </c>
      <c r="E11" t="s">
        <v>13</v>
      </c>
    </row>
    <row r="12" spans="1:7">
      <c r="A12" t="s">
        <v>668</v>
      </c>
      <c r="D12">
        <f>SUM(Crops!E:E)</f>
        <v>0.25</v>
      </c>
    </row>
    <row r="13" spans="1:7">
      <c r="F13" t="s">
        <v>149</v>
      </c>
    </row>
    <row r="14" spans="1:7">
      <c r="A14" s="5" t="s">
        <v>31</v>
      </c>
      <c r="D14" s="5">
        <f>D11*D30*D4</f>
        <v>100000000</v>
      </c>
    </row>
    <row r="15" spans="1:7">
      <c r="A15" s="5" t="s">
        <v>29</v>
      </c>
      <c r="D15" s="5">
        <v>0.95</v>
      </c>
    </row>
    <row r="16" spans="1:7">
      <c r="A16" s="5" t="s">
        <v>71</v>
      </c>
      <c r="D16" s="5">
        <v>25</v>
      </c>
      <c r="E16">
        <f>(D16-1)/D16</f>
        <v>0.96</v>
      </c>
      <c r="F16">
        <f>1/D16</f>
        <v>0.04</v>
      </c>
      <c r="G16" t="s">
        <v>59</v>
      </c>
    </row>
    <row r="17" spans="1:17">
      <c r="A17" s="5"/>
      <c r="D17" s="5"/>
      <c r="F17" t="s">
        <v>48</v>
      </c>
      <c r="G17" t="s">
        <v>72</v>
      </c>
      <c r="H17" t="s">
        <v>60</v>
      </c>
      <c r="I17" t="s">
        <v>50</v>
      </c>
      <c r="J17" t="s">
        <v>47</v>
      </c>
    </row>
    <row r="18" spans="1:17">
      <c r="A18" s="5" t="s">
        <v>69</v>
      </c>
      <c r="C18" s="5">
        <f>SUM(F18:J18)</f>
        <v>512779</v>
      </c>
      <c r="D18" t="s">
        <v>80</v>
      </c>
      <c r="F18">
        <f>D6</f>
        <v>0</v>
      </c>
      <c r="G18">
        <f>F32</f>
        <v>96970</v>
      </c>
      <c r="H18">
        <f>CEILING(MAX(D22+D21,F35)*E16,1)</f>
        <v>199588</v>
      </c>
      <c r="I18">
        <f>CEILING((D22+D21)*F16,1)</f>
        <v>8317</v>
      </c>
      <c r="J18">
        <f>D21+D22</f>
        <v>207904</v>
      </c>
    </row>
    <row r="19" spans="1:17">
      <c r="A19" s="5"/>
      <c r="C19">
        <f>(F18*1.1+G18*1.1+H18*1.1+I18*1.1+J18*0.9)</f>
        <v>522476.10000000009</v>
      </c>
      <c r="D19" s="5" t="s">
        <v>110</v>
      </c>
    </row>
    <row r="20" spans="1:17">
      <c r="A20" s="5" t="s">
        <v>32</v>
      </c>
      <c r="E20" s="5">
        <f>FLOOR((D14-D6)*0.78,1)</f>
        <v>78000000</v>
      </c>
      <c r="F20">
        <f>F18</f>
        <v>0</v>
      </c>
      <c r="G20">
        <f>G18</f>
        <v>96970</v>
      </c>
      <c r="H20">
        <f>H18</f>
        <v>199588</v>
      </c>
      <c r="I20">
        <f>I18</f>
        <v>8317</v>
      </c>
      <c r="J20">
        <f>D21+D22</f>
        <v>207904</v>
      </c>
    </row>
    <row r="21" spans="1:17">
      <c r="A21" s="5" t="s">
        <v>76</v>
      </c>
      <c r="D21">
        <f>CEILING(F18/10+G18,1)</f>
        <v>96970</v>
      </c>
    </row>
    <row r="22" spans="1:17">
      <c r="A22" s="5" t="s">
        <v>77</v>
      </c>
      <c r="D22">
        <f>CEILING(D21+D21*F16,1)+CEILING((D21+D21*F16)/10,1)</f>
        <v>110934</v>
      </c>
    </row>
    <row r="23" spans="1:17">
      <c r="A23" s="5" t="s">
        <v>65</v>
      </c>
      <c r="D23">
        <v>0.2</v>
      </c>
    </row>
    <row r="24" spans="1:17">
      <c r="A24" s="5"/>
    </row>
    <row r="25" spans="1:17">
      <c r="A25" t="s">
        <v>24</v>
      </c>
      <c r="D25">
        <v>2</v>
      </c>
      <c r="E25" s="5">
        <f>(1/1000)*$D$25</f>
        <v>2E-3</v>
      </c>
      <c r="H25" s="5"/>
      <c r="I25" s="5"/>
      <c r="J25" s="5"/>
      <c r="K25" s="5"/>
      <c r="L25" s="5"/>
      <c r="M25" s="5"/>
      <c r="O25" s="5"/>
    </row>
    <row r="26" spans="1:17">
      <c r="A26" t="s">
        <v>25</v>
      </c>
      <c r="D26">
        <f>MAX(B44:B58)</f>
        <v>353360</v>
      </c>
      <c r="E26" s="5"/>
      <c r="F26" s="5"/>
      <c r="G26" s="5"/>
      <c r="H26" s="5"/>
      <c r="I26" s="5"/>
      <c r="J26" s="5"/>
      <c r="K26" s="5"/>
      <c r="L26" s="5"/>
      <c r="M26" s="5"/>
      <c r="O26" s="5"/>
      <c r="P26" s="5"/>
      <c r="Q26" s="5"/>
    </row>
    <row r="27" spans="1:17">
      <c r="A27" t="s">
        <v>26</v>
      </c>
      <c r="D27">
        <f>MIN(B44:B58)</f>
        <v>209156</v>
      </c>
      <c r="E27" s="5"/>
      <c r="F27" s="5"/>
      <c r="G27" s="5">
        <f>8*5</f>
        <v>40</v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A28" t="s">
        <v>27</v>
      </c>
      <c r="D28">
        <f>B75</f>
        <v>244587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>
      <c r="A29" t="s">
        <v>74</v>
      </c>
      <c r="D29">
        <f>250*0.75</f>
        <v>187.5</v>
      </c>
      <c r="E29" s="5"/>
      <c r="F29" s="5"/>
      <c r="G29" s="5" t="s">
        <v>150</v>
      </c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A30" t="s">
        <v>46</v>
      </c>
      <c r="D30">
        <v>40</v>
      </c>
      <c r="E30" t="s">
        <v>105</v>
      </c>
      <c r="F30" s="5"/>
      <c r="G30" s="5" t="s">
        <v>186</v>
      </c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>
      <c r="A31" t="s">
        <v>81</v>
      </c>
      <c r="D31">
        <v>25</v>
      </c>
      <c r="E31" s="5" t="s">
        <v>82</v>
      </c>
      <c r="F31" s="5"/>
      <c r="G31" s="5" t="s">
        <v>151</v>
      </c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t="s">
        <v>75</v>
      </c>
      <c r="D32">
        <f>Agriculture!D12</f>
        <v>18.18181818181818</v>
      </c>
      <c r="E32" s="5" t="s">
        <v>153</v>
      </c>
      <c r="F32" s="5">
        <f>CEILING((D32*D36)/D29,1)</f>
        <v>96970</v>
      </c>
      <c r="G32" s="5" t="s">
        <v>80</v>
      </c>
      <c r="H32" s="5"/>
      <c r="J32" s="5"/>
      <c r="K32" s="5"/>
      <c r="L32" s="5"/>
      <c r="M32" s="5"/>
      <c r="N32" s="5"/>
      <c r="O32" s="5"/>
      <c r="P32" s="5"/>
      <c r="Q32" s="5"/>
    </row>
    <row r="33" spans="1:41">
      <c r="D33" s="5">
        <f>D32*2.2</f>
        <v>40</v>
      </c>
      <c r="E33" s="5" t="s">
        <v>239</v>
      </c>
      <c r="F33" s="5"/>
      <c r="G33" s="5" t="s">
        <v>240</v>
      </c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4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41">
      <c r="A35" t="s">
        <v>73</v>
      </c>
      <c r="D35">
        <v>250</v>
      </c>
      <c r="E35" s="5" t="s">
        <v>79</v>
      </c>
      <c r="F35" s="5">
        <f>CEILING((D36*D35)/(D31*365.26),1)</f>
        <v>27378</v>
      </c>
      <c r="G35" s="5" t="s">
        <v>80</v>
      </c>
      <c r="H35" s="5" t="s">
        <v>78</v>
      </c>
      <c r="I35" s="5"/>
      <c r="J35" s="5"/>
      <c r="K35" s="5"/>
      <c r="L35" s="5"/>
      <c r="M35" s="5"/>
      <c r="N35" s="5"/>
      <c r="O35" s="5"/>
      <c r="P35" s="5"/>
      <c r="Q35" s="5"/>
    </row>
    <row r="36" spans="1:41">
      <c r="A36" t="s">
        <v>83</v>
      </c>
      <c r="D36">
        <f>Vehicle!B1</f>
        <v>1000000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4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4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41">
      <c r="A39" t="s">
        <v>27</v>
      </c>
      <c r="D39" s="1"/>
      <c r="E39" s="5"/>
      <c r="F39" s="5" t="s">
        <v>28</v>
      </c>
      <c r="G39" s="5"/>
      <c r="H39" s="5"/>
      <c r="I39" s="5"/>
      <c r="J39" s="5"/>
      <c r="K39" s="5"/>
      <c r="L39" s="5"/>
      <c r="M39" s="5"/>
      <c r="N39" s="5">
        <f>1/15</f>
        <v>6.6666666666666666E-2</v>
      </c>
      <c r="O39" s="5"/>
      <c r="P39" s="5"/>
      <c r="Q39" s="5"/>
    </row>
    <row r="40" spans="1:41">
      <c r="D40" s="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41" ht="17" thickBot="1">
      <c r="D41" s="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41">
      <c r="A42" t="s">
        <v>52</v>
      </c>
      <c r="B42" t="s">
        <v>11</v>
      </c>
      <c r="C42" t="s">
        <v>48</v>
      </c>
      <c r="D42" t="s">
        <v>60</v>
      </c>
      <c r="E42" t="s">
        <v>61</v>
      </c>
      <c r="F42" t="s">
        <v>62</v>
      </c>
      <c r="G42" t="s">
        <v>63</v>
      </c>
      <c r="H42" t="s">
        <v>64</v>
      </c>
      <c r="I42" t="s">
        <v>66</v>
      </c>
      <c r="J42" t="s">
        <v>67</v>
      </c>
      <c r="K42" t="s">
        <v>68</v>
      </c>
      <c r="L42" t="s">
        <v>70</v>
      </c>
      <c r="M42">
        <v>1</v>
      </c>
      <c r="N42">
        <v>2</v>
      </c>
      <c r="O42" s="28" t="s">
        <v>51</v>
      </c>
      <c r="P42" s="29"/>
      <c r="Q42" s="29" t="s">
        <v>49</v>
      </c>
      <c r="R42" s="29"/>
      <c r="S42" s="29"/>
      <c r="T42" s="29"/>
      <c r="U42" s="29"/>
      <c r="V42" s="29"/>
      <c r="W42" s="30"/>
      <c r="X42" s="22" t="s">
        <v>54</v>
      </c>
      <c r="Y42" s="23"/>
      <c r="Z42" s="23"/>
      <c r="AA42" s="23"/>
      <c r="AB42" s="23"/>
      <c r="AC42" s="23"/>
      <c r="AD42" s="23"/>
      <c r="AE42" s="23"/>
      <c r="AF42" s="24"/>
      <c r="AG42" s="16" t="s">
        <v>50</v>
      </c>
      <c r="AH42" s="17"/>
      <c r="AI42" s="17"/>
      <c r="AJ42" s="17"/>
      <c r="AK42" s="17"/>
      <c r="AL42" s="17"/>
      <c r="AM42" s="17"/>
      <c r="AN42" s="17"/>
      <c r="AO42" s="18"/>
    </row>
    <row r="43" spans="1:41" ht="17" thickBot="1">
      <c r="D43">
        <f>H18</f>
        <v>199588</v>
      </c>
      <c r="M43" t="s">
        <v>53</v>
      </c>
      <c r="N43" t="s">
        <v>72</v>
      </c>
      <c r="O43" s="31">
        <v>2</v>
      </c>
      <c r="P43" s="32">
        <v>3</v>
      </c>
      <c r="Q43" s="32">
        <v>4</v>
      </c>
      <c r="R43" s="32">
        <v>5</v>
      </c>
      <c r="S43" s="32">
        <v>6</v>
      </c>
      <c r="T43" s="32">
        <v>7</v>
      </c>
      <c r="U43" s="32">
        <v>8</v>
      </c>
      <c r="V43" s="32">
        <v>9</v>
      </c>
      <c r="W43" s="33">
        <v>10</v>
      </c>
      <c r="X43" s="25">
        <v>2</v>
      </c>
      <c r="Y43" s="26">
        <v>3</v>
      </c>
      <c r="Z43" s="26">
        <v>4</v>
      </c>
      <c r="AA43" s="26">
        <v>5</v>
      </c>
      <c r="AB43" s="26">
        <v>6</v>
      </c>
      <c r="AC43" s="26">
        <v>7</v>
      </c>
      <c r="AD43" s="26">
        <v>8</v>
      </c>
      <c r="AE43" s="26">
        <v>9</v>
      </c>
      <c r="AF43" s="27">
        <v>10</v>
      </c>
      <c r="AG43" s="19">
        <v>2</v>
      </c>
      <c r="AH43" s="20">
        <v>3</v>
      </c>
      <c r="AI43" s="20">
        <v>4</v>
      </c>
      <c r="AJ43" s="20">
        <v>5</v>
      </c>
      <c r="AK43" s="20">
        <v>6</v>
      </c>
      <c r="AL43" s="20">
        <v>7</v>
      </c>
      <c r="AM43" s="20">
        <v>8</v>
      </c>
      <c r="AN43" s="20">
        <v>9</v>
      </c>
      <c r="AO43" s="21">
        <v>10</v>
      </c>
    </row>
    <row r="44" spans="1:41">
      <c r="A44">
        <v>0</v>
      </c>
      <c r="B44">
        <f>FLOOR(SUM(N44:AO44),1)</f>
        <v>353360</v>
      </c>
      <c r="C44">
        <f>FLOOR(SUM(X44:AF44),1)</f>
        <v>0</v>
      </c>
      <c r="D44">
        <f>FLOOR(SUM(Q44:W44),1)</f>
        <v>199588</v>
      </c>
      <c r="E44">
        <f>FLOOR(SUM(AG44:AO44),1)</f>
        <v>8317</v>
      </c>
      <c r="F44">
        <f>D44/E44</f>
        <v>23.997595286762053</v>
      </c>
      <c r="G44">
        <f>IF(F43&gt;$D$16*1.1,1,0.5)</f>
        <v>0.5</v>
      </c>
      <c r="H44">
        <f t="shared" ref="H44:H80" si="0">IF(D43&lt;=$H$18,1,0.75)</f>
        <v>1</v>
      </c>
      <c r="I44">
        <f t="shared" ref="I44:I80" si="1">IF(C43&lt;$F$18,1,0.5)</f>
        <v>0.5</v>
      </c>
      <c r="M44">
        <f>IF(D43&gt;($D$21+$D$22),$D$21+$D$22,D43)</f>
        <v>199588</v>
      </c>
      <c r="N44">
        <f>$G$20*1.5</f>
        <v>145455</v>
      </c>
      <c r="O44" s="3">
        <v>0</v>
      </c>
      <c r="P44" s="3">
        <v>0</v>
      </c>
      <c r="Q44" s="3">
        <f>H18/4</f>
        <v>49897</v>
      </c>
      <c r="R44" s="3">
        <f>Q44</f>
        <v>49897</v>
      </c>
      <c r="S44" s="3">
        <f>R44</f>
        <v>49897</v>
      </c>
      <c r="T44" s="3">
        <f>S44</f>
        <v>49897</v>
      </c>
      <c r="U44" s="3"/>
      <c r="V44" s="3"/>
      <c r="W44" s="3"/>
      <c r="X44" s="3">
        <f>F18</f>
        <v>0</v>
      </c>
      <c r="Y44" s="3">
        <v>0</v>
      </c>
      <c r="Z44" s="3">
        <v>0</v>
      </c>
      <c r="AA44" s="3"/>
      <c r="AB44" s="3"/>
      <c r="AC44" s="3"/>
      <c r="AD44" s="3"/>
      <c r="AE44" s="3"/>
      <c r="AF44" s="3"/>
      <c r="AG44" s="3">
        <f>I20</f>
        <v>8317</v>
      </c>
      <c r="AH44" s="3">
        <f>I20-AG44</f>
        <v>0</v>
      </c>
      <c r="AI44" s="3"/>
      <c r="AJ44" s="3"/>
      <c r="AK44" s="3"/>
      <c r="AL44" s="3"/>
      <c r="AM44" s="3"/>
      <c r="AN44" s="3">
        <v>0</v>
      </c>
      <c r="AO44" s="3">
        <v>0</v>
      </c>
    </row>
    <row r="45" spans="1:41">
      <c r="A45">
        <v>1</v>
      </c>
      <c r="B45">
        <f t="shared" ref="B45:B80" si="2">FLOOR(SUM(N45:AO45),1)</f>
        <v>314438</v>
      </c>
      <c r="C45">
        <f t="shared" ref="C45:C80" si="3">FLOOR(SUM(X45:AF45),1)</f>
        <v>0</v>
      </c>
      <c r="D45">
        <f t="shared" ref="D45:D80" si="4">FLOOR(SUM(Q45:W45),1)</f>
        <v>189608</v>
      </c>
      <c r="E45">
        <f t="shared" ref="E45:E80" si="5">FLOOR(SUM(AG45:AO45),1)</f>
        <v>7901</v>
      </c>
      <c r="F45">
        <f>IF(E45&gt;0,D45/E45,0)</f>
        <v>23.997974939881029</v>
      </c>
      <c r="G45">
        <f t="shared" ref="G45:G80" si="6">IF(F44&gt;$D$16*1.1,1,0.5)</f>
        <v>0.5</v>
      </c>
      <c r="H45">
        <f t="shared" si="0"/>
        <v>1</v>
      </c>
      <c r="I45">
        <f t="shared" si="1"/>
        <v>0.5</v>
      </c>
      <c r="J45">
        <f>SUM(O44:AO44)-SUM(P45:W45)-SUM(Y45:AF45)-SUM(AH45:AO45)</f>
        <v>10395.250000000024</v>
      </c>
      <c r="K45">
        <f>IF(J45&gt;0,J45,0)+N45</f>
        <v>107365.25000000003</v>
      </c>
      <c r="L45">
        <f>D45*87</f>
        <v>16495896</v>
      </c>
      <c r="M45">
        <f t="shared" ref="M45:M80" si="7">IF(D44&gt;($D$21+$D$22),$D$21+$D$22,D44)</f>
        <v>199588</v>
      </c>
      <c r="N45">
        <f t="shared" ref="N45:N80" si="8">IF(M44&gt;$G$18,$G$18,M44-O45-X45-AG45)</f>
        <v>96970</v>
      </c>
      <c r="O45" s="3">
        <f t="shared" ref="O45:O80" si="9">$H$18/10+IF(D44&lt;$H$18,2,0)</f>
        <v>19958.8</v>
      </c>
      <c r="P45" s="3">
        <f>O44*$D$15</f>
        <v>0</v>
      </c>
      <c r="Q45" s="3">
        <f>P44*$D$15</f>
        <v>0</v>
      </c>
      <c r="R45" s="3">
        <f>Q44*$D$15</f>
        <v>47402.149999999994</v>
      </c>
      <c r="S45" s="3">
        <f>R44*$D$15</f>
        <v>47402.149999999994</v>
      </c>
      <c r="T45" s="3">
        <f>S44*$D$15*$H45</f>
        <v>47402.149999999994</v>
      </c>
      <c r="U45" s="3">
        <f t="shared" ref="U45:W60" si="10">T44*$D$15*$H45</f>
        <v>47402.149999999994</v>
      </c>
      <c r="V45" s="3">
        <f t="shared" si="10"/>
        <v>0</v>
      </c>
      <c r="W45" s="3">
        <f t="shared" si="10"/>
        <v>0</v>
      </c>
      <c r="X45" s="3">
        <f>$D$6/10</f>
        <v>0</v>
      </c>
      <c r="Y45" s="3">
        <f>X44*$D$15</f>
        <v>0</v>
      </c>
      <c r="Z45" s="3">
        <f t="shared" ref="Z45:AF45" si="11">Y44*$D$15*$I44</f>
        <v>0</v>
      </c>
      <c r="AA45" s="3">
        <f t="shared" si="11"/>
        <v>0</v>
      </c>
      <c r="AB45" s="3">
        <f t="shared" si="11"/>
        <v>0</v>
      </c>
      <c r="AC45" s="3">
        <f t="shared" si="11"/>
        <v>0</v>
      </c>
      <c r="AD45" s="3">
        <f t="shared" si="11"/>
        <v>0</v>
      </c>
      <c r="AE45" s="3">
        <f t="shared" si="11"/>
        <v>0</v>
      </c>
      <c r="AF45" s="3">
        <f t="shared" si="11"/>
        <v>0</v>
      </c>
      <c r="AG45" s="3">
        <f t="shared" ref="AG45:AG80" si="12">IF(E44&lt;$I$18,1,0)</f>
        <v>0</v>
      </c>
      <c r="AH45" s="3">
        <f>AG44*$D$15</f>
        <v>7901.15</v>
      </c>
      <c r="AI45" s="3">
        <f t="shared" ref="AI45:AO45" si="13">AH44*$D$15*$G44</f>
        <v>0</v>
      </c>
      <c r="AJ45" s="3">
        <f t="shared" si="13"/>
        <v>0</v>
      </c>
      <c r="AK45" s="3">
        <f t="shared" si="13"/>
        <v>0</v>
      </c>
      <c r="AL45" s="3">
        <f t="shared" si="13"/>
        <v>0</v>
      </c>
      <c r="AM45" s="3">
        <f t="shared" si="13"/>
        <v>0</v>
      </c>
      <c r="AN45" s="3">
        <f t="shared" si="13"/>
        <v>0</v>
      </c>
      <c r="AO45" s="3">
        <f t="shared" si="13"/>
        <v>0</v>
      </c>
    </row>
    <row r="46" spans="1:41">
      <c r="A46">
        <f>A45+1</f>
        <v>2</v>
      </c>
      <c r="B46">
        <f t="shared" si="2"/>
        <v>319773</v>
      </c>
      <c r="C46">
        <f t="shared" si="3"/>
        <v>0</v>
      </c>
      <c r="D46">
        <f t="shared" si="4"/>
        <v>180128</v>
      </c>
      <c r="E46">
        <f t="shared" si="5"/>
        <v>3754</v>
      </c>
      <c r="F46">
        <f t="shared" ref="F46:F81" si="14">IF(E46&gt;0,D46/E46,0)</f>
        <v>47.982951518380396</v>
      </c>
      <c r="G46">
        <f t="shared" si="6"/>
        <v>0.5</v>
      </c>
      <c r="H46">
        <f t="shared" si="0"/>
        <v>1</v>
      </c>
      <c r="I46">
        <f t="shared" si="1"/>
        <v>0.5</v>
      </c>
      <c r="J46">
        <f t="shared" ref="J46:J75" si="15">SUM(O45:AO45)-SUM(P46:W46)-SUM(Y46:AF46)-SUM(AH46:AO46)</f>
        <v>14626.473750000019</v>
      </c>
      <c r="K46">
        <f t="shared" ref="K46:K75" si="16">IF(J46&gt;0,J46,0)+N46</f>
        <v>111596.47375000002</v>
      </c>
      <c r="L46">
        <f t="shared" ref="L46:L80" si="17">D46*87*365.25</f>
        <v>5723882424</v>
      </c>
      <c r="M46">
        <f t="shared" si="7"/>
        <v>189608</v>
      </c>
      <c r="N46">
        <f t="shared" si="8"/>
        <v>96970</v>
      </c>
      <c r="O46" s="3">
        <f t="shared" si="9"/>
        <v>19960.8</v>
      </c>
      <c r="P46" s="3">
        <f t="shared" ref="P46:S80" si="18">O45*$D$15</f>
        <v>18960.859999999997</v>
      </c>
      <c r="Q46" s="3">
        <f t="shared" si="18"/>
        <v>0</v>
      </c>
      <c r="R46" s="3">
        <f t="shared" si="18"/>
        <v>0</v>
      </c>
      <c r="S46" s="3">
        <f t="shared" si="18"/>
        <v>45032.042499999996</v>
      </c>
      <c r="T46" s="3">
        <f t="shared" ref="T46:W80" si="19">S45*$D$15*$H46</f>
        <v>45032.042499999996</v>
      </c>
      <c r="U46" s="3">
        <f t="shared" si="10"/>
        <v>45032.042499999996</v>
      </c>
      <c r="V46" s="3">
        <f t="shared" si="10"/>
        <v>45032.042499999996</v>
      </c>
      <c r="W46" s="3">
        <f t="shared" si="10"/>
        <v>0</v>
      </c>
      <c r="X46" s="3">
        <f t="shared" ref="X46:X80" si="20">$D$6/10</f>
        <v>0</v>
      </c>
      <c r="Y46" s="3">
        <f t="shared" ref="Y46:Y80" si="21">X45*$D$15</f>
        <v>0</v>
      </c>
      <c r="Z46" s="3">
        <f t="shared" ref="Z46:Z80" si="22">Y45*$D$15*$I45</f>
        <v>0</v>
      </c>
      <c r="AA46" s="3">
        <f t="shared" ref="AA46:AA80" si="23">Z45*$D$15*$I45</f>
        <v>0</v>
      </c>
      <c r="AB46" s="3">
        <f t="shared" ref="AB46:AB80" si="24">AA45*$D$15*$I45</f>
        <v>0</v>
      </c>
      <c r="AC46" s="3">
        <f t="shared" ref="AC46:AC80" si="25">AB45*$D$15*$I45</f>
        <v>0</v>
      </c>
      <c r="AD46" s="3">
        <f t="shared" ref="AD46:AD80" si="26">AC45*$D$15*$I45</f>
        <v>0</v>
      </c>
      <c r="AE46" s="3">
        <f t="shared" ref="AE46:AE80" si="27">AD45*$D$15*$I45</f>
        <v>0</v>
      </c>
      <c r="AF46" s="3">
        <f t="shared" ref="AF46:AF80" si="28">AE45*$D$15*$I45</f>
        <v>0</v>
      </c>
      <c r="AG46" s="3">
        <f t="shared" si="12"/>
        <v>1</v>
      </c>
      <c r="AH46" s="3">
        <f t="shared" ref="AH46:AH80" si="29">AG45*$D$15</f>
        <v>0</v>
      </c>
      <c r="AI46" s="3">
        <f t="shared" ref="AI46:AI80" si="30">AH45*$D$15*$G45</f>
        <v>3753.0462499999999</v>
      </c>
      <c r="AJ46" s="3">
        <f t="shared" ref="AJ46:AJ80" si="31">AI45*$D$15*$G45</f>
        <v>0</v>
      </c>
      <c r="AK46" s="3">
        <f t="shared" ref="AK46:AK80" si="32">AJ45*$D$15*$G45</f>
        <v>0</v>
      </c>
      <c r="AL46" s="3">
        <f t="shared" ref="AL46:AL80" si="33">AK45*$D$15*$G45</f>
        <v>0</v>
      </c>
      <c r="AM46" s="3">
        <f t="shared" ref="AM46:AM80" si="34">AL45*$D$15*$G45</f>
        <v>0</v>
      </c>
      <c r="AN46" s="3">
        <f t="shared" ref="AN46:AN80" si="35">AM45*$D$15*$G45</f>
        <v>0</v>
      </c>
      <c r="AO46" s="3">
        <f t="shared" ref="AO46:AO80" si="36">AN45*$D$15*$G45</f>
        <v>0</v>
      </c>
    </row>
    <row r="47" spans="1:41">
      <c r="A47">
        <f t="shared" ref="A47:A49" si="37">A46+1</f>
        <v>3</v>
      </c>
      <c r="B47">
        <f t="shared" si="2"/>
        <v>326812</v>
      </c>
      <c r="C47">
        <f t="shared" si="3"/>
        <v>0</v>
      </c>
      <c r="D47">
        <f t="shared" si="4"/>
        <v>189134</v>
      </c>
      <c r="E47">
        <f t="shared" si="5"/>
        <v>1784</v>
      </c>
      <c r="F47">
        <f t="shared" si="14"/>
        <v>106.01681614349776</v>
      </c>
      <c r="G47">
        <f t="shared" si="6"/>
        <v>1</v>
      </c>
      <c r="H47">
        <f t="shared" si="0"/>
        <v>1</v>
      </c>
      <c r="I47">
        <f t="shared" si="1"/>
        <v>0.5</v>
      </c>
      <c r="J47">
        <f t="shared" si="15"/>
        <v>12922.890781250018</v>
      </c>
      <c r="K47">
        <f t="shared" si="16"/>
        <v>109892.89078125003</v>
      </c>
      <c r="L47">
        <f t="shared" si="17"/>
        <v>6010063834.5</v>
      </c>
      <c r="M47">
        <f t="shared" si="7"/>
        <v>180128</v>
      </c>
      <c r="N47">
        <f t="shared" si="8"/>
        <v>96970</v>
      </c>
      <c r="O47" s="3">
        <f t="shared" si="9"/>
        <v>19960.8</v>
      </c>
      <c r="P47" s="3">
        <f t="shared" si="18"/>
        <v>18962.759999999998</v>
      </c>
      <c r="Q47" s="3">
        <f t="shared" si="18"/>
        <v>18012.816999999995</v>
      </c>
      <c r="R47" s="3">
        <f t="shared" si="18"/>
        <v>0</v>
      </c>
      <c r="S47" s="3">
        <f t="shared" si="18"/>
        <v>0</v>
      </c>
      <c r="T47" s="3">
        <f t="shared" si="19"/>
        <v>42780.440374999991</v>
      </c>
      <c r="U47" s="3">
        <f t="shared" si="10"/>
        <v>42780.440374999991</v>
      </c>
      <c r="V47" s="3">
        <f t="shared" si="10"/>
        <v>42780.440374999991</v>
      </c>
      <c r="W47" s="3">
        <f t="shared" si="10"/>
        <v>42780.440374999991</v>
      </c>
      <c r="X47" s="3">
        <f t="shared" si="20"/>
        <v>0</v>
      </c>
      <c r="Y47" s="3">
        <f t="shared" si="21"/>
        <v>0</v>
      </c>
      <c r="Z47" s="3">
        <f t="shared" si="22"/>
        <v>0</v>
      </c>
      <c r="AA47" s="3">
        <f t="shared" si="23"/>
        <v>0</v>
      </c>
      <c r="AB47" s="3">
        <f t="shared" si="24"/>
        <v>0</v>
      </c>
      <c r="AC47" s="3">
        <f t="shared" si="25"/>
        <v>0</v>
      </c>
      <c r="AD47" s="3">
        <f t="shared" si="26"/>
        <v>0</v>
      </c>
      <c r="AE47" s="3">
        <f t="shared" si="27"/>
        <v>0</v>
      </c>
      <c r="AF47" s="3">
        <f t="shared" si="28"/>
        <v>0</v>
      </c>
      <c r="AG47" s="3">
        <f t="shared" si="12"/>
        <v>1</v>
      </c>
      <c r="AH47" s="3">
        <f t="shared" si="29"/>
        <v>0.95</v>
      </c>
      <c r="AI47" s="3">
        <f>AH46*$D$15*$G46</f>
        <v>0</v>
      </c>
      <c r="AJ47" s="3">
        <f t="shared" si="31"/>
        <v>1782.6969687499998</v>
      </c>
      <c r="AK47" s="3">
        <f t="shared" si="32"/>
        <v>0</v>
      </c>
      <c r="AL47" s="3">
        <f t="shared" si="33"/>
        <v>0</v>
      </c>
      <c r="AM47" s="3">
        <f t="shared" si="34"/>
        <v>0</v>
      </c>
      <c r="AN47" s="3">
        <f t="shared" si="35"/>
        <v>0</v>
      </c>
      <c r="AO47" s="3">
        <f t="shared" si="36"/>
        <v>0</v>
      </c>
    </row>
    <row r="48" spans="1:41">
      <c r="A48">
        <f t="shared" si="37"/>
        <v>4</v>
      </c>
      <c r="B48">
        <f t="shared" si="2"/>
        <v>294641</v>
      </c>
      <c r="C48">
        <f t="shared" si="3"/>
        <v>0</v>
      </c>
      <c r="D48">
        <f t="shared" si="4"/>
        <v>157051</v>
      </c>
      <c r="E48">
        <f t="shared" si="5"/>
        <v>1696</v>
      </c>
      <c r="F48">
        <f t="shared" si="14"/>
        <v>92.600825471698116</v>
      </c>
      <c r="G48">
        <f t="shared" si="6"/>
        <v>1</v>
      </c>
      <c r="H48">
        <f t="shared" si="0"/>
        <v>1</v>
      </c>
      <c r="I48">
        <f t="shared" si="1"/>
        <v>0.5</v>
      </c>
      <c r="J48">
        <f t="shared" si="15"/>
        <v>52133.557629687581</v>
      </c>
      <c r="K48">
        <f t="shared" si="16"/>
        <v>149103.5576296876</v>
      </c>
      <c r="L48">
        <f t="shared" si="17"/>
        <v>4990570364.25</v>
      </c>
      <c r="M48">
        <f t="shared" si="7"/>
        <v>189134</v>
      </c>
      <c r="N48">
        <f t="shared" si="8"/>
        <v>96970</v>
      </c>
      <c r="O48" s="3">
        <f t="shared" si="9"/>
        <v>19960.8</v>
      </c>
      <c r="P48" s="3">
        <f t="shared" si="18"/>
        <v>18962.759999999998</v>
      </c>
      <c r="Q48" s="3">
        <f t="shared" si="18"/>
        <v>18014.621999999999</v>
      </c>
      <c r="R48" s="3">
        <f t="shared" si="18"/>
        <v>17112.176149999996</v>
      </c>
      <c r="S48" s="3">
        <f t="shared" si="18"/>
        <v>0</v>
      </c>
      <c r="T48" s="3">
        <f t="shared" si="19"/>
        <v>0</v>
      </c>
      <c r="U48" s="3">
        <f t="shared" si="10"/>
        <v>40641.418356249989</v>
      </c>
      <c r="V48" s="3">
        <f t="shared" si="10"/>
        <v>40641.418356249989</v>
      </c>
      <c r="W48" s="3">
        <f t="shared" si="10"/>
        <v>40641.418356249989</v>
      </c>
      <c r="X48" s="3">
        <f t="shared" si="20"/>
        <v>0</v>
      </c>
      <c r="Y48" s="3">
        <f t="shared" si="21"/>
        <v>0</v>
      </c>
      <c r="Z48" s="3">
        <f t="shared" si="22"/>
        <v>0</v>
      </c>
      <c r="AA48" s="3">
        <f t="shared" si="23"/>
        <v>0</v>
      </c>
      <c r="AB48" s="3">
        <f t="shared" si="24"/>
        <v>0</v>
      </c>
      <c r="AC48" s="3">
        <f t="shared" si="25"/>
        <v>0</v>
      </c>
      <c r="AD48" s="3">
        <f t="shared" si="26"/>
        <v>0</v>
      </c>
      <c r="AE48" s="3">
        <f t="shared" si="27"/>
        <v>0</v>
      </c>
      <c r="AF48" s="3">
        <f t="shared" si="28"/>
        <v>0</v>
      </c>
      <c r="AG48" s="3">
        <f t="shared" si="12"/>
        <v>1</v>
      </c>
      <c r="AH48" s="3">
        <f t="shared" si="29"/>
        <v>0.95</v>
      </c>
      <c r="AI48" s="3">
        <f t="shared" si="30"/>
        <v>0.90249999999999997</v>
      </c>
      <c r="AJ48" s="3">
        <f t="shared" si="31"/>
        <v>0</v>
      </c>
      <c r="AK48" s="3">
        <f t="shared" si="32"/>
        <v>1693.5621203124997</v>
      </c>
      <c r="AL48" s="3">
        <f t="shared" si="33"/>
        <v>0</v>
      </c>
      <c r="AM48" s="3">
        <f t="shared" si="34"/>
        <v>0</v>
      </c>
      <c r="AN48" s="3">
        <f t="shared" si="35"/>
        <v>0</v>
      </c>
      <c r="AO48" s="3">
        <f t="shared" si="36"/>
        <v>0</v>
      </c>
    </row>
    <row r="49" spans="1:41">
      <c r="A49">
        <f t="shared" si="37"/>
        <v>5</v>
      </c>
      <c r="B49">
        <f t="shared" si="2"/>
        <v>266109</v>
      </c>
      <c r="C49">
        <f t="shared" si="3"/>
        <v>0</v>
      </c>
      <c r="D49">
        <f t="shared" si="4"/>
        <v>128603</v>
      </c>
      <c r="E49">
        <f t="shared" si="5"/>
        <v>1612</v>
      </c>
      <c r="F49">
        <f t="shared" si="14"/>
        <v>79.778535980148888</v>
      </c>
      <c r="G49">
        <f t="shared" si="6"/>
        <v>1</v>
      </c>
      <c r="H49">
        <f t="shared" si="0"/>
        <v>1</v>
      </c>
      <c r="I49">
        <f t="shared" si="1"/>
        <v>0.5</v>
      </c>
      <c r="J49">
        <f t="shared" si="15"/>
        <v>48492.898830390615</v>
      </c>
      <c r="K49">
        <f t="shared" si="16"/>
        <v>145462.89883039062</v>
      </c>
      <c r="L49">
        <f t="shared" si="17"/>
        <v>4086585380.25</v>
      </c>
      <c r="M49">
        <f t="shared" si="7"/>
        <v>157051</v>
      </c>
      <c r="N49">
        <f t="shared" si="8"/>
        <v>96970</v>
      </c>
      <c r="O49" s="3">
        <f t="shared" si="9"/>
        <v>19960.8</v>
      </c>
      <c r="P49" s="3">
        <f t="shared" si="18"/>
        <v>18962.759999999998</v>
      </c>
      <c r="Q49" s="3">
        <f t="shared" si="18"/>
        <v>18014.621999999999</v>
      </c>
      <c r="R49" s="3">
        <f t="shared" si="18"/>
        <v>17113.890899999999</v>
      </c>
      <c r="S49" s="3">
        <f t="shared" si="18"/>
        <v>16256.567342499995</v>
      </c>
      <c r="T49" s="3">
        <f t="shared" si="19"/>
        <v>0</v>
      </c>
      <c r="U49" s="3">
        <f t="shared" si="10"/>
        <v>0</v>
      </c>
      <c r="V49" s="3">
        <f t="shared" si="10"/>
        <v>38609.347438437486</v>
      </c>
      <c r="W49" s="3">
        <f t="shared" si="10"/>
        <v>38609.347438437486</v>
      </c>
      <c r="X49" s="3">
        <f t="shared" si="20"/>
        <v>0</v>
      </c>
      <c r="Y49" s="3">
        <f t="shared" si="21"/>
        <v>0</v>
      </c>
      <c r="Z49" s="3">
        <f t="shared" si="22"/>
        <v>0</v>
      </c>
      <c r="AA49" s="3">
        <f t="shared" si="23"/>
        <v>0</v>
      </c>
      <c r="AB49" s="3">
        <f t="shared" si="24"/>
        <v>0</v>
      </c>
      <c r="AC49" s="3">
        <f t="shared" si="25"/>
        <v>0</v>
      </c>
      <c r="AD49" s="3">
        <f t="shared" si="26"/>
        <v>0</v>
      </c>
      <c r="AE49" s="3">
        <f t="shared" si="27"/>
        <v>0</v>
      </c>
      <c r="AF49" s="3">
        <f t="shared" si="28"/>
        <v>0</v>
      </c>
      <c r="AG49" s="3">
        <f t="shared" si="12"/>
        <v>1</v>
      </c>
      <c r="AH49" s="3">
        <f t="shared" si="29"/>
        <v>0.95</v>
      </c>
      <c r="AI49" s="3">
        <f t="shared" si="30"/>
        <v>0.90249999999999997</v>
      </c>
      <c r="AJ49" s="3">
        <f t="shared" si="31"/>
        <v>0.85737499999999989</v>
      </c>
      <c r="AK49" s="3">
        <f t="shared" si="32"/>
        <v>0</v>
      </c>
      <c r="AL49" s="3">
        <f t="shared" si="33"/>
        <v>1608.8840142968747</v>
      </c>
      <c r="AM49" s="3">
        <f t="shared" si="34"/>
        <v>0</v>
      </c>
      <c r="AN49" s="3">
        <f t="shared" si="35"/>
        <v>0</v>
      </c>
      <c r="AO49" s="3">
        <f t="shared" si="36"/>
        <v>0</v>
      </c>
    </row>
    <row r="50" spans="1:41">
      <c r="A50">
        <f t="shared" ref="A50:A58" si="38">A49+1</f>
        <v>6</v>
      </c>
      <c r="B50">
        <f t="shared" si="2"/>
        <v>240935</v>
      </c>
      <c r="C50">
        <f t="shared" si="3"/>
        <v>0</v>
      </c>
      <c r="D50">
        <f t="shared" si="4"/>
        <v>103509</v>
      </c>
      <c r="E50">
        <f t="shared" si="5"/>
        <v>1532</v>
      </c>
      <c r="F50">
        <f t="shared" si="14"/>
        <v>67.564621409921671</v>
      </c>
      <c r="G50">
        <f t="shared" si="6"/>
        <v>1</v>
      </c>
      <c r="H50">
        <f t="shared" si="0"/>
        <v>1</v>
      </c>
      <c r="I50">
        <f t="shared" si="1"/>
        <v>0.5</v>
      </c>
      <c r="J50">
        <f t="shared" si="15"/>
        <v>45135.876516949233</v>
      </c>
      <c r="K50">
        <f t="shared" si="16"/>
        <v>142105.87651694924</v>
      </c>
      <c r="L50">
        <f t="shared" si="17"/>
        <v>3289179615.75</v>
      </c>
      <c r="M50">
        <f t="shared" si="7"/>
        <v>128603</v>
      </c>
      <c r="N50">
        <f t="shared" si="8"/>
        <v>96970</v>
      </c>
      <c r="O50" s="3">
        <f t="shared" si="9"/>
        <v>19960.8</v>
      </c>
      <c r="P50" s="3">
        <f t="shared" si="18"/>
        <v>18962.759999999998</v>
      </c>
      <c r="Q50" s="3">
        <f t="shared" si="18"/>
        <v>18014.621999999999</v>
      </c>
      <c r="R50" s="3">
        <f t="shared" si="18"/>
        <v>17113.890899999999</v>
      </c>
      <c r="S50" s="3">
        <f t="shared" si="18"/>
        <v>16258.196354999998</v>
      </c>
      <c r="T50" s="3">
        <f t="shared" si="19"/>
        <v>15443.738975374994</v>
      </c>
      <c r="U50" s="3">
        <f t="shared" si="10"/>
        <v>0</v>
      </c>
      <c r="V50" s="3">
        <f t="shared" si="10"/>
        <v>0</v>
      </c>
      <c r="W50" s="3">
        <f t="shared" si="10"/>
        <v>36678.880066515609</v>
      </c>
      <c r="X50" s="3">
        <f t="shared" si="20"/>
        <v>0</v>
      </c>
      <c r="Y50" s="3">
        <f t="shared" si="21"/>
        <v>0</v>
      </c>
      <c r="Z50" s="3">
        <f t="shared" si="22"/>
        <v>0</v>
      </c>
      <c r="AA50" s="3">
        <f t="shared" si="23"/>
        <v>0</v>
      </c>
      <c r="AB50" s="3">
        <f t="shared" si="24"/>
        <v>0</v>
      </c>
      <c r="AC50" s="3">
        <f t="shared" si="25"/>
        <v>0</v>
      </c>
      <c r="AD50" s="3">
        <f t="shared" si="26"/>
        <v>0</v>
      </c>
      <c r="AE50" s="3">
        <f t="shared" si="27"/>
        <v>0</v>
      </c>
      <c r="AF50" s="3">
        <f t="shared" si="28"/>
        <v>0</v>
      </c>
      <c r="AG50" s="3">
        <f t="shared" si="12"/>
        <v>1</v>
      </c>
      <c r="AH50" s="3">
        <f t="shared" si="29"/>
        <v>0.95</v>
      </c>
      <c r="AI50" s="3">
        <f t="shared" si="30"/>
        <v>0.90249999999999997</v>
      </c>
      <c r="AJ50" s="3">
        <f t="shared" si="31"/>
        <v>0.85737499999999989</v>
      </c>
      <c r="AK50" s="3">
        <f t="shared" si="32"/>
        <v>0.81450624999999988</v>
      </c>
      <c r="AL50" s="3">
        <f t="shared" si="33"/>
        <v>0</v>
      </c>
      <c r="AM50" s="3">
        <f t="shared" si="34"/>
        <v>1528.4398135820309</v>
      </c>
      <c r="AN50" s="3">
        <f t="shared" si="35"/>
        <v>0</v>
      </c>
      <c r="AO50" s="3">
        <f t="shared" si="36"/>
        <v>0</v>
      </c>
    </row>
    <row r="51" spans="1:41">
      <c r="A51">
        <f t="shared" si="38"/>
        <v>7</v>
      </c>
      <c r="B51">
        <f t="shared" si="2"/>
        <v>218854</v>
      </c>
      <c r="C51">
        <f t="shared" si="3"/>
        <v>0</v>
      </c>
      <c r="D51">
        <f t="shared" si="4"/>
        <v>81503</v>
      </c>
      <c r="E51">
        <f t="shared" si="5"/>
        <v>1457</v>
      </c>
      <c r="F51">
        <f t="shared" si="14"/>
        <v>55.938915579958817</v>
      </c>
      <c r="G51">
        <f t="shared" si="6"/>
        <v>1</v>
      </c>
      <c r="H51">
        <f t="shared" si="0"/>
        <v>1</v>
      </c>
      <c r="I51">
        <f t="shared" si="1"/>
        <v>0.5</v>
      </c>
      <c r="J51">
        <f t="shared" si="15"/>
        <v>42043.228687775969</v>
      </c>
      <c r="K51">
        <f t="shared" si="16"/>
        <v>139013.22868777596</v>
      </c>
      <c r="L51">
        <f t="shared" si="17"/>
        <v>2589900455.25</v>
      </c>
      <c r="M51">
        <f t="shared" si="7"/>
        <v>103509</v>
      </c>
      <c r="N51">
        <f t="shared" si="8"/>
        <v>96970</v>
      </c>
      <c r="O51" s="3">
        <f t="shared" si="9"/>
        <v>19960.8</v>
      </c>
      <c r="P51" s="3">
        <f t="shared" si="18"/>
        <v>18962.759999999998</v>
      </c>
      <c r="Q51" s="3">
        <f t="shared" si="18"/>
        <v>18014.621999999999</v>
      </c>
      <c r="R51" s="3">
        <f t="shared" si="18"/>
        <v>17113.890899999999</v>
      </c>
      <c r="S51" s="3">
        <f t="shared" si="18"/>
        <v>16258.196354999998</v>
      </c>
      <c r="T51" s="3">
        <f t="shared" si="19"/>
        <v>15445.286537249998</v>
      </c>
      <c r="U51" s="3">
        <f t="shared" si="10"/>
        <v>14671.552026606243</v>
      </c>
      <c r="V51" s="3">
        <f t="shared" si="10"/>
        <v>0</v>
      </c>
      <c r="W51" s="3">
        <f t="shared" si="10"/>
        <v>0</v>
      </c>
      <c r="X51" s="3">
        <f t="shared" si="20"/>
        <v>0</v>
      </c>
      <c r="Y51" s="3">
        <f t="shared" si="21"/>
        <v>0</v>
      </c>
      <c r="Z51" s="3">
        <f t="shared" si="22"/>
        <v>0</v>
      </c>
      <c r="AA51" s="3">
        <f t="shared" si="23"/>
        <v>0</v>
      </c>
      <c r="AB51" s="3">
        <f t="shared" si="24"/>
        <v>0</v>
      </c>
      <c r="AC51" s="3">
        <f t="shared" si="25"/>
        <v>0</v>
      </c>
      <c r="AD51" s="3">
        <f t="shared" si="26"/>
        <v>0</v>
      </c>
      <c r="AE51" s="3">
        <f t="shared" si="27"/>
        <v>0</v>
      </c>
      <c r="AF51" s="3">
        <f t="shared" si="28"/>
        <v>0</v>
      </c>
      <c r="AG51" s="3">
        <f t="shared" si="12"/>
        <v>1</v>
      </c>
      <c r="AH51" s="3">
        <f t="shared" si="29"/>
        <v>0.95</v>
      </c>
      <c r="AI51" s="3">
        <f t="shared" si="30"/>
        <v>0.90249999999999997</v>
      </c>
      <c r="AJ51" s="3">
        <f t="shared" si="31"/>
        <v>0.85737499999999989</v>
      </c>
      <c r="AK51" s="3">
        <f t="shared" si="32"/>
        <v>0.81450624999999988</v>
      </c>
      <c r="AL51" s="3">
        <f t="shared" si="33"/>
        <v>0.77378093749999988</v>
      </c>
      <c r="AM51" s="3">
        <f t="shared" si="34"/>
        <v>0</v>
      </c>
      <c r="AN51" s="3">
        <f t="shared" si="35"/>
        <v>1452.0178229029293</v>
      </c>
      <c r="AO51" s="3">
        <f t="shared" si="36"/>
        <v>0</v>
      </c>
    </row>
    <row r="52" spans="1:41">
      <c r="A52">
        <f t="shared" si="38"/>
        <v>8</v>
      </c>
      <c r="B52">
        <f t="shared" si="2"/>
        <v>232722</v>
      </c>
      <c r="C52">
        <f t="shared" si="3"/>
        <v>0</v>
      </c>
      <c r="D52">
        <f t="shared" si="4"/>
        <v>95442</v>
      </c>
      <c r="E52">
        <f t="shared" si="5"/>
        <v>1385</v>
      </c>
      <c r="F52">
        <f t="shared" si="14"/>
        <v>68.911191335740071</v>
      </c>
      <c r="G52">
        <f t="shared" si="6"/>
        <v>1</v>
      </c>
      <c r="H52">
        <f t="shared" si="0"/>
        <v>1</v>
      </c>
      <c r="I52">
        <f t="shared" si="1"/>
        <v>0.5</v>
      </c>
      <c r="J52">
        <f t="shared" si="15"/>
        <v>6094.2211901973269</v>
      </c>
      <c r="K52">
        <f t="shared" si="16"/>
        <v>103064.22119019732</v>
      </c>
      <c r="L52">
        <f t="shared" si="17"/>
        <v>3032836573.5</v>
      </c>
      <c r="M52">
        <f t="shared" si="7"/>
        <v>81503</v>
      </c>
      <c r="N52">
        <f t="shared" si="8"/>
        <v>96970</v>
      </c>
      <c r="O52" s="3">
        <f t="shared" si="9"/>
        <v>19960.8</v>
      </c>
      <c r="P52" s="3">
        <f t="shared" si="18"/>
        <v>18962.759999999998</v>
      </c>
      <c r="Q52" s="3">
        <f t="shared" si="18"/>
        <v>18014.621999999999</v>
      </c>
      <c r="R52" s="3">
        <f t="shared" si="18"/>
        <v>17113.890899999999</v>
      </c>
      <c r="S52" s="3">
        <f t="shared" si="18"/>
        <v>16258.196354999998</v>
      </c>
      <c r="T52" s="3">
        <f t="shared" si="19"/>
        <v>15445.286537249998</v>
      </c>
      <c r="U52" s="3">
        <f t="shared" si="10"/>
        <v>14673.022210387498</v>
      </c>
      <c r="V52" s="3">
        <f t="shared" si="10"/>
        <v>13937.97442527593</v>
      </c>
      <c r="W52" s="3">
        <f t="shared" si="10"/>
        <v>0</v>
      </c>
      <c r="X52" s="3">
        <f t="shared" si="20"/>
        <v>0</v>
      </c>
      <c r="Y52" s="3">
        <f t="shared" si="21"/>
        <v>0</v>
      </c>
      <c r="Z52" s="3">
        <f t="shared" si="22"/>
        <v>0</v>
      </c>
      <c r="AA52" s="3">
        <f t="shared" si="23"/>
        <v>0</v>
      </c>
      <c r="AB52" s="3">
        <f t="shared" si="24"/>
        <v>0</v>
      </c>
      <c r="AC52" s="3">
        <f t="shared" si="25"/>
        <v>0</v>
      </c>
      <c r="AD52" s="3">
        <f t="shared" si="26"/>
        <v>0</v>
      </c>
      <c r="AE52" s="3">
        <f t="shared" si="27"/>
        <v>0</v>
      </c>
      <c r="AF52" s="3">
        <f t="shared" si="28"/>
        <v>0</v>
      </c>
      <c r="AG52" s="3">
        <f t="shared" si="12"/>
        <v>1</v>
      </c>
      <c r="AH52" s="3">
        <f t="shared" si="29"/>
        <v>0.95</v>
      </c>
      <c r="AI52" s="3">
        <f t="shared" si="30"/>
        <v>0.90249999999999997</v>
      </c>
      <c r="AJ52" s="3">
        <f t="shared" si="31"/>
        <v>0.85737499999999989</v>
      </c>
      <c r="AK52" s="3">
        <f t="shared" si="32"/>
        <v>0.81450624999999988</v>
      </c>
      <c r="AL52" s="3">
        <f t="shared" si="33"/>
        <v>0.77378093749999988</v>
      </c>
      <c r="AM52" s="3">
        <f t="shared" si="34"/>
        <v>0.7350918906249998</v>
      </c>
      <c r="AN52" s="3">
        <f t="shared" si="35"/>
        <v>0</v>
      </c>
      <c r="AO52" s="3">
        <f t="shared" si="36"/>
        <v>1379.4169317577828</v>
      </c>
    </row>
    <row r="53" spans="1:41">
      <c r="A53">
        <f t="shared" si="38"/>
        <v>9</v>
      </c>
      <c r="B53">
        <f t="shared" si="2"/>
        <v>209156</v>
      </c>
      <c r="C53">
        <f t="shared" si="3"/>
        <v>0</v>
      </c>
      <c r="D53">
        <f t="shared" si="4"/>
        <v>108685</v>
      </c>
      <c r="E53">
        <f t="shared" si="5"/>
        <v>6</v>
      </c>
      <c r="F53">
        <f t="shared" si="14"/>
        <v>18114.166666666668</v>
      </c>
      <c r="G53">
        <f t="shared" si="6"/>
        <v>1</v>
      </c>
      <c r="H53">
        <f t="shared" si="0"/>
        <v>1</v>
      </c>
      <c r="I53">
        <f t="shared" si="1"/>
        <v>0.5</v>
      </c>
      <c r="J53">
        <f t="shared" si="15"/>
        <v>8098.0462158573664</v>
      </c>
      <c r="K53">
        <f t="shared" si="16"/>
        <v>69639.246215857362</v>
      </c>
      <c r="L53">
        <f t="shared" si="17"/>
        <v>3453656073.75</v>
      </c>
      <c r="M53">
        <f t="shared" si="7"/>
        <v>95442</v>
      </c>
      <c r="N53">
        <f t="shared" si="8"/>
        <v>61541.2</v>
      </c>
      <c r="O53" s="3">
        <f t="shared" si="9"/>
        <v>19960.8</v>
      </c>
      <c r="P53" s="3">
        <f t="shared" si="18"/>
        <v>18962.759999999998</v>
      </c>
      <c r="Q53" s="3">
        <f t="shared" si="18"/>
        <v>18014.621999999999</v>
      </c>
      <c r="R53" s="3">
        <f t="shared" si="18"/>
        <v>17113.890899999999</v>
      </c>
      <c r="S53" s="3">
        <f t="shared" si="18"/>
        <v>16258.196354999998</v>
      </c>
      <c r="T53" s="3">
        <f t="shared" si="19"/>
        <v>15445.286537249998</v>
      </c>
      <c r="U53" s="3">
        <f t="shared" si="10"/>
        <v>14673.022210387498</v>
      </c>
      <c r="V53" s="3">
        <f t="shared" si="10"/>
        <v>13939.371099868124</v>
      </c>
      <c r="W53" s="3">
        <f t="shared" si="10"/>
        <v>13241.075704012133</v>
      </c>
      <c r="X53" s="3">
        <f t="shared" si="20"/>
        <v>0</v>
      </c>
      <c r="Y53" s="3">
        <f t="shared" si="21"/>
        <v>0</v>
      </c>
      <c r="Z53" s="3">
        <f t="shared" si="22"/>
        <v>0</v>
      </c>
      <c r="AA53" s="3">
        <f t="shared" si="23"/>
        <v>0</v>
      </c>
      <c r="AB53" s="3">
        <f t="shared" si="24"/>
        <v>0</v>
      </c>
      <c r="AC53" s="3">
        <f t="shared" si="25"/>
        <v>0</v>
      </c>
      <c r="AD53" s="3">
        <f t="shared" si="26"/>
        <v>0</v>
      </c>
      <c r="AE53" s="3">
        <f t="shared" si="27"/>
        <v>0</v>
      </c>
      <c r="AF53" s="3">
        <f t="shared" si="28"/>
        <v>0</v>
      </c>
      <c r="AG53" s="3">
        <f t="shared" si="12"/>
        <v>1</v>
      </c>
      <c r="AH53" s="3">
        <f t="shared" si="29"/>
        <v>0.95</v>
      </c>
      <c r="AI53" s="3">
        <f t="shared" si="30"/>
        <v>0.90249999999999997</v>
      </c>
      <c r="AJ53" s="3">
        <f t="shared" si="31"/>
        <v>0.85737499999999989</v>
      </c>
      <c r="AK53" s="3">
        <f t="shared" si="32"/>
        <v>0.81450624999999988</v>
      </c>
      <c r="AL53" s="3">
        <f t="shared" si="33"/>
        <v>0.77378093749999988</v>
      </c>
      <c r="AM53" s="3">
        <f t="shared" si="34"/>
        <v>0.7350918906249998</v>
      </c>
      <c r="AN53" s="3">
        <f t="shared" si="35"/>
        <v>0.69833729609374973</v>
      </c>
      <c r="AO53" s="3">
        <f t="shared" si="36"/>
        <v>0</v>
      </c>
    </row>
    <row r="54" spans="1:41">
      <c r="A54">
        <f t="shared" si="38"/>
        <v>10</v>
      </c>
      <c r="B54">
        <f t="shared" si="2"/>
        <v>223097</v>
      </c>
      <c r="C54">
        <f t="shared" si="3"/>
        <v>0</v>
      </c>
      <c r="D54">
        <f t="shared" si="4"/>
        <v>108686</v>
      </c>
      <c r="E54">
        <f t="shared" si="5"/>
        <v>7</v>
      </c>
      <c r="F54">
        <f t="shared" si="14"/>
        <v>15526.571428571429</v>
      </c>
      <c r="G54">
        <f t="shared" si="6"/>
        <v>1</v>
      </c>
      <c r="H54">
        <f t="shared" si="0"/>
        <v>1</v>
      </c>
      <c r="I54">
        <f t="shared" si="1"/>
        <v>0.5</v>
      </c>
      <c r="J54">
        <f t="shared" si="15"/>
        <v>19959.809738706113</v>
      </c>
      <c r="K54">
        <f t="shared" si="16"/>
        <v>95440.009738706111</v>
      </c>
      <c r="L54">
        <f t="shared" si="17"/>
        <v>3453687850.5</v>
      </c>
      <c r="M54">
        <f t="shared" si="7"/>
        <v>108685</v>
      </c>
      <c r="N54">
        <f t="shared" si="8"/>
        <v>75480.2</v>
      </c>
      <c r="O54" s="3">
        <f t="shared" si="9"/>
        <v>19960.8</v>
      </c>
      <c r="P54" s="3">
        <f t="shared" si="18"/>
        <v>18962.759999999998</v>
      </c>
      <c r="Q54" s="3">
        <f t="shared" si="18"/>
        <v>18014.621999999999</v>
      </c>
      <c r="R54" s="3">
        <f t="shared" si="18"/>
        <v>17113.890899999999</v>
      </c>
      <c r="S54" s="3">
        <f t="shared" si="18"/>
        <v>16258.196354999998</v>
      </c>
      <c r="T54" s="3">
        <f t="shared" si="19"/>
        <v>15445.286537249998</v>
      </c>
      <c r="U54" s="3">
        <f t="shared" si="10"/>
        <v>14673.022210387498</v>
      </c>
      <c r="V54" s="3">
        <f t="shared" si="10"/>
        <v>13939.371099868124</v>
      </c>
      <c r="W54" s="3">
        <f t="shared" si="10"/>
        <v>13242.402544874716</v>
      </c>
      <c r="X54" s="3">
        <f t="shared" si="20"/>
        <v>0</v>
      </c>
      <c r="Y54" s="3">
        <f t="shared" si="21"/>
        <v>0</v>
      </c>
      <c r="Z54" s="3">
        <f t="shared" si="22"/>
        <v>0</v>
      </c>
      <c r="AA54" s="3">
        <f t="shared" si="23"/>
        <v>0</v>
      </c>
      <c r="AB54" s="3">
        <f t="shared" si="24"/>
        <v>0</v>
      </c>
      <c r="AC54" s="3">
        <f t="shared" si="25"/>
        <v>0</v>
      </c>
      <c r="AD54" s="3">
        <f t="shared" si="26"/>
        <v>0</v>
      </c>
      <c r="AE54" s="3">
        <f t="shared" si="27"/>
        <v>0</v>
      </c>
      <c r="AF54" s="3">
        <f t="shared" si="28"/>
        <v>0</v>
      </c>
      <c r="AG54" s="3">
        <f t="shared" si="12"/>
        <v>1</v>
      </c>
      <c r="AH54" s="3">
        <f t="shared" si="29"/>
        <v>0.95</v>
      </c>
      <c r="AI54" s="3">
        <f t="shared" si="30"/>
        <v>0.90249999999999997</v>
      </c>
      <c r="AJ54" s="3">
        <f t="shared" si="31"/>
        <v>0.85737499999999989</v>
      </c>
      <c r="AK54" s="3">
        <f t="shared" si="32"/>
        <v>0.81450624999999988</v>
      </c>
      <c r="AL54" s="3">
        <f t="shared" si="33"/>
        <v>0.77378093749999988</v>
      </c>
      <c r="AM54" s="3">
        <f t="shared" si="34"/>
        <v>0.7350918906249998</v>
      </c>
      <c r="AN54" s="3">
        <f t="shared" si="35"/>
        <v>0.69833729609374973</v>
      </c>
      <c r="AO54" s="3">
        <f t="shared" si="36"/>
        <v>0.66342043128906225</v>
      </c>
    </row>
    <row r="55" spans="1:41">
      <c r="A55">
        <f t="shared" si="38"/>
        <v>11</v>
      </c>
      <c r="B55">
        <f t="shared" si="2"/>
        <v>244587</v>
      </c>
      <c r="C55">
        <f t="shared" si="3"/>
        <v>0</v>
      </c>
      <c r="D55">
        <f t="shared" si="4"/>
        <v>108686</v>
      </c>
      <c r="E55">
        <f t="shared" si="5"/>
        <v>7</v>
      </c>
      <c r="F55">
        <f t="shared" si="14"/>
        <v>15526.571428571429</v>
      </c>
      <c r="G55">
        <f t="shared" si="6"/>
        <v>1</v>
      </c>
      <c r="H55">
        <f t="shared" si="0"/>
        <v>1</v>
      </c>
      <c r="I55">
        <f t="shared" si="1"/>
        <v>0.5</v>
      </c>
      <c r="J55">
        <f t="shared" si="15"/>
        <v>19961.800000000003</v>
      </c>
      <c r="K55">
        <f t="shared" si="16"/>
        <v>116931.8</v>
      </c>
      <c r="L55">
        <f t="shared" si="17"/>
        <v>3453687850.5</v>
      </c>
      <c r="M55">
        <f t="shared" si="7"/>
        <v>108686</v>
      </c>
      <c r="N55">
        <f t="shared" si="8"/>
        <v>96970</v>
      </c>
      <c r="O55" s="3">
        <f t="shared" si="9"/>
        <v>19960.8</v>
      </c>
      <c r="P55" s="3">
        <f t="shared" si="18"/>
        <v>18962.759999999998</v>
      </c>
      <c r="Q55" s="3">
        <f t="shared" si="18"/>
        <v>18014.621999999999</v>
      </c>
      <c r="R55" s="3">
        <f t="shared" si="18"/>
        <v>17113.890899999999</v>
      </c>
      <c r="S55" s="3">
        <f t="shared" si="18"/>
        <v>16258.196354999998</v>
      </c>
      <c r="T55" s="3">
        <f t="shared" si="19"/>
        <v>15445.286537249998</v>
      </c>
      <c r="U55" s="3">
        <f t="shared" si="10"/>
        <v>14673.022210387498</v>
      </c>
      <c r="V55" s="3">
        <f t="shared" si="10"/>
        <v>13939.371099868124</v>
      </c>
      <c r="W55" s="3">
        <f t="shared" si="10"/>
        <v>13242.402544874716</v>
      </c>
      <c r="X55" s="3">
        <f t="shared" si="20"/>
        <v>0</v>
      </c>
      <c r="Y55" s="3">
        <f t="shared" si="21"/>
        <v>0</v>
      </c>
      <c r="Z55" s="3">
        <f t="shared" si="22"/>
        <v>0</v>
      </c>
      <c r="AA55" s="3">
        <f t="shared" si="23"/>
        <v>0</v>
      </c>
      <c r="AB55" s="3">
        <f t="shared" si="24"/>
        <v>0</v>
      </c>
      <c r="AC55" s="3">
        <f t="shared" si="25"/>
        <v>0</v>
      </c>
      <c r="AD55" s="3">
        <f t="shared" si="26"/>
        <v>0</v>
      </c>
      <c r="AE55" s="3">
        <f t="shared" si="27"/>
        <v>0</v>
      </c>
      <c r="AF55" s="3">
        <f t="shared" si="28"/>
        <v>0</v>
      </c>
      <c r="AG55" s="3">
        <f t="shared" si="12"/>
        <v>1</v>
      </c>
      <c r="AH55" s="3">
        <f t="shared" si="29"/>
        <v>0.95</v>
      </c>
      <c r="AI55" s="3">
        <f t="shared" si="30"/>
        <v>0.90249999999999997</v>
      </c>
      <c r="AJ55" s="3">
        <f t="shared" si="31"/>
        <v>0.85737499999999989</v>
      </c>
      <c r="AK55" s="3">
        <f t="shared" si="32"/>
        <v>0.81450624999999988</v>
      </c>
      <c r="AL55" s="3">
        <f t="shared" si="33"/>
        <v>0.77378093749999988</v>
      </c>
      <c r="AM55" s="3">
        <f t="shared" si="34"/>
        <v>0.7350918906249998</v>
      </c>
      <c r="AN55" s="3">
        <f t="shared" si="35"/>
        <v>0.69833729609374973</v>
      </c>
      <c r="AO55" s="3">
        <f t="shared" si="36"/>
        <v>0.66342043128906225</v>
      </c>
    </row>
    <row r="56" spans="1:41">
      <c r="A56">
        <f t="shared" si="38"/>
        <v>12</v>
      </c>
      <c r="B56">
        <f t="shared" si="2"/>
        <v>244587</v>
      </c>
      <c r="C56">
        <f t="shared" si="3"/>
        <v>0</v>
      </c>
      <c r="D56">
        <f t="shared" si="4"/>
        <v>108686</v>
      </c>
      <c r="E56">
        <f t="shared" si="5"/>
        <v>7</v>
      </c>
      <c r="F56">
        <f t="shared" si="14"/>
        <v>15526.571428571429</v>
      </c>
      <c r="G56">
        <f t="shared" si="6"/>
        <v>1</v>
      </c>
      <c r="H56">
        <f t="shared" si="0"/>
        <v>1</v>
      </c>
      <c r="I56">
        <f t="shared" si="1"/>
        <v>0.5</v>
      </c>
      <c r="J56">
        <f t="shared" si="15"/>
        <v>19961.800000000003</v>
      </c>
      <c r="K56">
        <f t="shared" si="16"/>
        <v>116931.8</v>
      </c>
      <c r="L56">
        <f t="shared" si="17"/>
        <v>3453687850.5</v>
      </c>
      <c r="M56">
        <f t="shared" si="7"/>
        <v>108686</v>
      </c>
      <c r="N56">
        <f t="shared" si="8"/>
        <v>96970</v>
      </c>
      <c r="O56" s="3">
        <f t="shared" si="9"/>
        <v>19960.8</v>
      </c>
      <c r="P56" s="3">
        <f t="shared" si="18"/>
        <v>18962.759999999998</v>
      </c>
      <c r="Q56" s="3">
        <f t="shared" si="18"/>
        <v>18014.621999999999</v>
      </c>
      <c r="R56" s="3">
        <f t="shared" si="18"/>
        <v>17113.890899999999</v>
      </c>
      <c r="S56" s="3">
        <f t="shared" si="18"/>
        <v>16258.196354999998</v>
      </c>
      <c r="T56" s="3">
        <f t="shared" si="19"/>
        <v>15445.286537249998</v>
      </c>
      <c r="U56" s="3">
        <f t="shared" si="10"/>
        <v>14673.022210387498</v>
      </c>
      <c r="V56" s="3">
        <f t="shared" si="10"/>
        <v>13939.371099868124</v>
      </c>
      <c r="W56" s="3">
        <f t="shared" si="10"/>
        <v>13242.402544874716</v>
      </c>
      <c r="X56" s="3">
        <f t="shared" si="20"/>
        <v>0</v>
      </c>
      <c r="Y56" s="3">
        <f t="shared" si="21"/>
        <v>0</v>
      </c>
      <c r="Z56" s="3">
        <f t="shared" si="22"/>
        <v>0</v>
      </c>
      <c r="AA56" s="3">
        <f t="shared" si="23"/>
        <v>0</v>
      </c>
      <c r="AB56" s="3">
        <f t="shared" si="24"/>
        <v>0</v>
      </c>
      <c r="AC56" s="3">
        <f t="shared" si="25"/>
        <v>0</v>
      </c>
      <c r="AD56" s="3">
        <f t="shared" si="26"/>
        <v>0</v>
      </c>
      <c r="AE56" s="3">
        <f t="shared" si="27"/>
        <v>0</v>
      </c>
      <c r="AF56" s="3">
        <f t="shared" si="28"/>
        <v>0</v>
      </c>
      <c r="AG56" s="3">
        <f t="shared" si="12"/>
        <v>1</v>
      </c>
      <c r="AH56" s="3">
        <f t="shared" si="29"/>
        <v>0.95</v>
      </c>
      <c r="AI56" s="3">
        <f t="shared" si="30"/>
        <v>0.90249999999999997</v>
      </c>
      <c r="AJ56" s="3">
        <f t="shared" si="31"/>
        <v>0.85737499999999989</v>
      </c>
      <c r="AK56" s="3">
        <f t="shared" si="32"/>
        <v>0.81450624999999988</v>
      </c>
      <c r="AL56" s="3">
        <f t="shared" si="33"/>
        <v>0.77378093749999988</v>
      </c>
      <c r="AM56" s="3">
        <f t="shared" si="34"/>
        <v>0.7350918906249998</v>
      </c>
      <c r="AN56" s="3">
        <f t="shared" si="35"/>
        <v>0.69833729609374973</v>
      </c>
      <c r="AO56" s="3">
        <f t="shared" si="36"/>
        <v>0.66342043128906225</v>
      </c>
    </row>
    <row r="57" spans="1:41">
      <c r="A57">
        <f t="shared" si="38"/>
        <v>13</v>
      </c>
      <c r="B57">
        <f t="shared" si="2"/>
        <v>244587</v>
      </c>
      <c r="C57">
        <f t="shared" si="3"/>
        <v>0</v>
      </c>
      <c r="D57">
        <f t="shared" si="4"/>
        <v>108686</v>
      </c>
      <c r="E57">
        <f t="shared" si="5"/>
        <v>7</v>
      </c>
      <c r="F57">
        <f t="shared" si="14"/>
        <v>15526.571428571429</v>
      </c>
      <c r="G57">
        <f t="shared" si="6"/>
        <v>1</v>
      </c>
      <c r="H57">
        <f t="shared" si="0"/>
        <v>1</v>
      </c>
      <c r="I57">
        <f t="shared" si="1"/>
        <v>0.5</v>
      </c>
      <c r="J57">
        <f t="shared" si="15"/>
        <v>19961.800000000003</v>
      </c>
      <c r="K57">
        <f t="shared" si="16"/>
        <v>116931.8</v>
      </c>
      <c r="L57">
        <f t="shared" si="17"/>
        <v>3453687850.5</v>
      </c>
      <c r="M57">
        <f t="shared" si="7"/>
        <v>108686</v>
      </c>
      <c r="N57">
        <f t="shared" si="8"/>
        <v>96970</v>
      </c>
      <c r="O57" s="3">
        <f t="shared" si="9"/>
        <v>19960.8</v>
      </c>
      <c r="P57" s="3">
        <f t="shared" si="18"/>
        <v>18962.759999999998</v>
      </c>
      <c r="Q57" s="3">
        <f t="shared" si="18"/>
        <v>18014.621999999999</v>
      </c>
      <c r="R57" s="3">
        <f t="shared" si="18"/>
        <v>17113.890899999999</v>
      </c>
      <c r="S57" s="3">
        <f t="shared" si="18"/>
        <v>16258.196354999998</v>
      </c>
      <c r="T57" s="3">
        <f t="shared" si="19"/>
        <v>15445.286537249998</v>
      </c>
      <c r="U57" s="3">
        <f t="shared" si="10"/>
        <v>14673.022210387498</v>
      </c>
      <c r="V57" s="3">
        <f t="shared" si="10"/>
        <v>13939.371099868124</v>
      </c>
      <c r="W57" s="3">
        <f t="shared" si="10"/>
        <v>13242.402544874716</v>
      </c>
      <c r="X57" s="3">
        <f t="shared" si="20"/>
        <v>0</v>
      </c>
      <c r="Y57" s="3">
        <f t="shared" si="21"/>
        <v>0</v>
      </c>
      <c r="Z57" s="3">
        <f t="shared" si="22"/>
        <v>0</v>
      </c>
      <c r="AA57" s="3">
        <f t="shared" si="23"/>
        <v>0</v>
      </c>
      <c r="AB57" s="3">
        <f t="shared" si="24"/>
        <v>0</v>
      </c>
      <c r="AC57" s="3">
        <f t="shared" si="25"/>
        <v>0</v>
      </c>
      <c r="AD57" s="3">
        <f t="shared" si="26"/>
        <v>0</v>
      </c>
      <c r="AE57" s="3">
        <f t="shared" si="27"/>
        <v>0</v>
      </c>
      <c r="AF57" s="3">
        <f t="shared" si="28"/>
        <v>0</v>
      </c>
      <c r="AG57" s="3">
        <f t="shared" si="12"/>
        <v>1</v>
      </c>
      <c r="AH57" s="3">
        <f t="shared" si="29"/>
        <v>0.95</v>
      </c>
      <c r="AI57" s="3">
        <f t="shared" si="30"/>
        <v>0.90249999999999997</v>
      </c>
      <c r="AJ57" s="3">
        <f t="shared" si="31"/>
        <v>0.85737499999999989</v>
      </c>
      <c r="AK57" s="3">
        <f t="shared" si="32"/>
        <v>0.81450624999999988</v>
      </c>
      <c r="AL57" s="3">
        <f t="shared" si="33"/>
        <v>0.77378093749999988</v>
      </c>
      <c r="AM57" s="3">
        <f t="shared" si="34"/>
        <v>0.7350918906249998</v>
      </c>
      <c r="AN57" s="3">
        <f t="shared" si="35"/>
        <v>0.69833729609374973</v>
      </c>
      <c r="AO57" s="3">
        <f t="shared" si="36"/>
        <v>0.66342043128906225</v>
      </c>
    </row>
    <row r="58" spans="1:41">
      <c r="A58">
        <f t="shared" si="38"/>
        <v>14</v>
      </c>
      <c r="B58">
        <f t="shared" si="2"/>
        <v>244587</v>
      </c>
      <c r="C58">
        <f t="shared" si="3"/>
        <v>0</v>
      </c>
      <c r="D58">
        <f t="shared" si="4"/>
        <v>108686</v>
      </c>
      <c r="E58">
        <f t="shared" si="5"/>
        <v>7</v>
      </c>
      <c r="F58">
        <f t="shared" si="14"/>
        <v>15526.571428571429</v>
      </c>
      <c r="G58">
        <f t="shared" si="6"/>
        <v>1</v>
      </c>
      <c r="H58">
        <f t="shared" si="0"/>
        <v>1</v>
      </c>
      <c r="I58">
        <f t="shared" si="1"/>
        <v>0.5</v>
      </c>
      <c r="J58">
        <f t="shared" si="15"/>
        <v>19961.800000000003</v>
      </c>
      <c r="K58">
        <f t="shared" si="16"/>
        <v>116931.8</v>
      </c>
      <c r="L58">
        <f t="shared" si="17"/>
        <v>3453687850.5</v>
      </c>
      <c r="M58">
        <f t="shared" si="7"/>
        <v>108686</v>
      </c>
      <c r="N58">
        <f t="shared" si="8"/>
        <v>96970</v>
      </c>
      <c r="O58" s="3">
        <f t="shared" si="9"/>
        <v>19960.8</v>
      </c>
      <c r="P58" s="3">
        <f t="shared" si="18"/>
        <v>18962.759999999998</v>
      </c>
      <c r="Q58" s="3">
        <f t="shared" si="18"/>
        <v>18014.621999999999</v>
      </c>
      <c r="R58" s="3">
        <f t="shared" si="18"/>
        <v>17113.890899999999</v>
      </c>
      <c r="S58" s="3">
        <f t="shared" si="18"/>
        <v>16258.196354999998</v>
      </c>
      <c r="T58" s="3">
        <f t="shared" si="19"/>
        <v>15445.286537249998</v>
      </c>
      <c r="U58" s="3">
        <f t="shared" si="10"/>
        <v>14673.022210387498</v>
      </c>
      <c r="V58" s="3">
        <f t="shared" si="10"/>
        <v>13939.371099868124</v>
      </c>
      <c r="W58" s="3">
        <f t="shared" si="10"/>
        <v>13242.402544874716</v>
      </c>
      <c r="X58" s="3">
        <f t="shared" si="20"/>
        <v>0</v>
      </c>
      <c r="Y58" s="3">
        <f t="shared" si="21"/>
        <v>0</v>
      </c>
      <c r="Z58" s="3">
        <f t="shared" si="22"/>
        <v>0</v>
      </c>
      <c r="AA58" s="3">
        <f t="shared" si="23"/>
        <v>0</v>
      </c>
      <c r="AB58" s="3">
        <f t="shared" si="24"/>
        <v>0</v>
      </c>
      <c r="AC58" s="3">
        <f t="shared" si="25"/>
        <v>0</v>
      </c>
      <c r="AD58" s="3">
        <f t="shared" si="26"/>
        <v>0</v>
      </c>
      <c r="AE58" s="3">
        <f t="shared" si="27"/>
        <v>0</v>
      </c>
      <c r="AF58" s="3">
        <f t="shared" si="28"/>
        <v>0</v>
      </c>
      <c r="AG58" s="3">
        <f t="shared" si="12"/>
        <v>1</v>
      </c>
      <c r="AH58" s="3">
        <f t="shared" si="29"/>
        <v>0.95</v>
      </c>
      <c r="AI58" s="3">
        <f t="shared" si="30"/>
        <v>0.90249999999999997</v>
      </c>
      <c r="AJ58" s="3">
        <f t="shared" si="31"/>
        <v>0.85737499999999989</v>
      </c>
      <c r="AK58" s="3">
        <f t="shared" si="32"/>
        <v>0.81450624999999988</v>
      </c>
      <c r="AL58" s="3">
        <f t="shared" si="33"/>
        <v>0.77378093749999988</v>
      </c>
      <c r="AM58" s="3">
        <f t="shared" si="34"/>
        <v>0.7350918906249998</v>
      </c>
      <c r="AN58" s="3">
        <f t="shared" si="35"/>
        <v>0.69833729609374973</v>
      </c>
      <c r="AO58" s="3">
        <f t="shared" si="36"/>
        <v>0.66342043128906225</v>
      </c>
    </row>
    <row r="59" spans="1:41">
      <c r="A59">
        <f t="shared" ref="A59:A71" si="39">A58+1</f>
        <v>15</v>
      </c>
      <c r="B59">
        <f t="shared" si="2"/>
        <v>244587</v>
      </c>
      <c r="C59">
        <f t="shared" si="3"/>
        <v>0</v>
      </c>
      <c r="D59">
        <f t="shared" si="4"/>
        <v>108686</v>
      </c>
      <c r="E59">
        <f t="shared" si="5"/>
        <v>7</v>
      </c>
      <c r="F59">
        <f t="shared" si="14"/>
        <v>15526.571428571429</v>
      </c>
      <c r="G59">
        <f t="shared" si="6"/>
        <v>1</v>
      </c>
      <c r="H59">
        <f t="shared" si="0"/>
        <v>1</v>
      </c>
      <c r="I59">
        <f t="shared" si="1"/>
        <v>0.5</v>
      </c>
      <c r="J59">
        <f t="shared" si="15"/>
        <v>19961.800000000003</v>
      </c>
      <c r="K59">
        <f t="shared" si="16"/>
        <v>116931.8</v>
      </c>
      <c r="L59">
        <f t="shared" si="17"/>
        <v>3453687850.5</v>
      </c>
      <c r="M59">
        <f t="shared" si="7"/>
        <v>108686</v>
      </c>
      <c r="N59">
        <f t="shared" si="8"/>
        <v>96970</v>
      </c>
      <c r="O59" s="3">
        <f t="shared" si="9"/>
        <v>19960.8</v>
      </c>
      <c r="P59" s="3">
        <f t="shared" si="18"/>
        <v>18962.759999999998</v>
      </c>
      <c r="Q59" s="3">
        <f t="shared" si="18"/>
        <v>18014.621999999999</v>
      </c>
      <c r="R59" s="3">
        <f t="shared" si="18"/>
        <v>17113.890899999999</v>
      </c>
      <c r="S59" s="3">
        <f t="shared" si="18"/>
        <v>16258.196354999998</v>
      </c>
      <c r="T59" s="3">
        <f t="shared" si="19"/>
        <v>15445.286537249998</v>
      </c>
      <c r="U59" s="3">
        <f t="shared" si="10"/>
        <v>14673.022210387498</v>
      </c>
      <c r="V59" s="3">
        <f t="shared" si="10"/>
        <v>13939.371099868124</v>
      </c>
      <c r="W59" s="3">
        <f t="shared" si="10"/>
        <v>13242.402544874716</v>
      </c>
      <c r="X59" s="3">
        <f t="shared" si="20"/>
        <v>0</v>
      </c>
      <c r="Y59" s="3">
        <f t="shared" si="21"/>
        <v>0</v>
      </c>
      <c r="Z59" s="3">
        <f t="shared" si="22"/>
        <v>0</v>
      </c>
      <c r="AA59" s="3">
        <f t="shared" si="23"/>
        <v>0</v>
      </c>
      <c r="AB59" s="3">
        <f t="shared" si="24"/>
        <v>0</v>
      </c>
      <c r="AC59" s="3">
        <f t="shared" si="25"/>
        <v>0</v>
      </c>
      <c r="AD59" s="3">
        <f t="shared" si="26"/>
        <v>0</v>
      </c>
      <c r="AE59" s="3">
        <f t="shared" si="27"/>
        <v>0</v>
      </c>
      <c r="AF59" s="3">
        <f t="shared" si="28"/>
        <v>0</v>
      </c>
      <c r="AG59" s="3">
        <f t="shared" si="12"/>
        <v>1</v>
      </c>
      <c r="AH59" s="3">
        <f t="shared" si="29"/>
        <v>0.95</v>
      </c>
      <c r="AI59" s="3">
        <f t="shared" si="30"/>
        <v>0.90249999999999997</v>
      </c>
      <c r="AJ59" s="3">
        <f t="shared" si="31"/>
        <v>0.85737499999999989</v>
      </c>
      <c r="AK59" s="3">
        <f t="shared" si="32"/>
        <v>0.81450624999999988</v>
      </c>
      <c r="AL59" s="3">
        <f t="shared" si="33"/>
        <v>0.77378093749999988</v>
      </c>
      <c r="AM59" s="3">
        <f t="shared" si="34"/>
        <v>0.7350918906249998</v>
      </c>
      <c r="AN59" s="3">
        <f t="shared" si="35"/>
        <v>0.69833729609374973</v>
      </c>
      <c r="AO59" s="3">
        <f t="shared" si="36"/>
        <v>0.66342043128906225</v>
      </c>
    </row>
    <row r="60" spans="1:41">
      <c r="A60">
        <f t="shared" si="39"/>
        <v>16</v>
      </c>
      <c r="B60">
        <f t="shared" si="2"/>
        <v>244587</v>
      </c>
      <c r="C60">
        <f t="shared" si="3"/>
        <v>0</v>
      </c>
      <c r="D60">
        <f>FLOOR(SUM(Q60:W60),1)</f>
        <v>108686</v>
      </c>
      <c r="E60">
        <f t="shared" si="5"/>
        <v>7</v>
      </c>
      <c r="F60">
        <f t="shared" si="14"/>
        <v>15526.571428571429</v>
      </c>
      <c r="G60">
        <f t="shared" si="6"/>
        <v>1</v>
      </c>
      <c r="H60">
        <f t="shared" si="0"/>
        <v>1</v>
      </c>
      <c r="I60">
        <f t="shared" si="1"/>
        <v>0.5</v>
      </c>
      <c r="J60">
        <f t="shared" si="15"/>
        <v>19961.800000000003</v>
      </c>
      <c r="K60">
        <f t="shared" si="16"/>
        <v>116931.8</v>
      </c>
      <c r="L60">
        <f t="shared" si="17"/>
        <v>3453687850.5</v>
      </c>
      <c r="M60">
        <f>IF(D59&gt;($D$21+$D$22),$D$21+$D$22,D59)</f>
        <v>108686</v>
      </c>
      <c r="N60">
        <f t="shared" si="8"/>
        <v>96970</v>
      </c>
      <c r="O60" s="3">
        <f t="shared" si="9"/>
        <v>19960.8</v>
      </c>
      <c r="P60" s="3">
        <f t="shared" si="18"/>
        <v>18962.759999999998</v>
      </c>
      <c r="Q60" s="3">
        <f t="shared" si="18"/>
        <v>18014.621999999999</v>
      </c>
      <c r="R60" s="3">
        <f t="shared" si="18"/>
        <v>17113.890899999999</v>
      </c>
      <c r="S60" s="3">
        <f t="shared" si="18"/>
        <v>16258.196354999998</v>
      </c>
      <c r="T60" s="3">
        <f t="shared" si="19"/>
        <v>15445.286537249998</v>
      </c>
      <c r="U60" s="3">
        <f t="shared" si="10"/>
        <v>14673.022210387498</v>
      </c>
      <c r="V60" s="3">
        <f t="shared" si="10"/>
        <v>13939.371099868124</v>
      </c>
      <c r="W60" s="3">
        <f t="shared" si="10"/>
        <v>13242.402544874716</v>
      </c>
      <c r="X60" s="3">
        <f t="shared" si="20"/>
        <v>0</v>
      </c>
      <c r="Y60" s="3">
        <f t="shared" si="21"/>
        <v>0</v>
      </c>
      <c r="Z60" s="3">
        <f t="shared" si="22"/>
        <v>0</v>
      </c>
      <c r="AA60" s="3">
        <f t="shared" si="23"/>
        <v>0</v>
      </c>
      <c r="AB60" s="3">
        <f t="shared" si="24"/>
        <v>0</v>
      </c>
      <c r="AC60" s="3">
        <f t="shared" si="25"/>
        <v>0</v>
      </c>
      <c r="AD60" s="3">
        <f t="shared" si="26"/>
        <v>0</v>
      </c>
      <c r="AE60" s="3">
        <f t="shared" si="27"/>
        <v>0</v>
      </c>
      <c r="AF60" s="3">
        <f t="shared" si="28"/>
        <v>0</v>
      </c>
      <c r="AG60" s="3">
        <f t="shared" si="12"/>
        <v>1</v>
      </c>
      <c r="AH60" s="3">
        <f t="shared" si="29"/>
        <v>0.95</v>
      </c>
      <c r="AI60" s="3">
        <f t="shared" si="30"/>
        <v>0.90249999999999997</v>
      </c>
      <c r="AJ60" s="3">
        <f t="shared" si="31"/>
        <v>0.85737499999999989</v>
      </c>
      <c r="AK60" s="3">
        <f t="shared" si="32"/>
        <v>0.81450624999999988</v>
      </c>
      <c r="AL60" s="3">
        <f t="shared" si="33"/>
        <v>0.77378093749999988</v>
      </c>
      <c r="AM60" s="3">
        <f t="shared" si="34"/>
        <v>0.7350918906249998</v>
      </c>
      <c r="AN60" s="3">
        <f t="shared" si="35"/>
        <v>0.69833729609374973</v>
      </c>
      <c r="AO60" s="3">
        <f t="shared" si="36"/>
        <v>0.66342043128906225</v>
      </c>
    </row>
    <row r="61" spans="1:41">
      <c r="A61">
        <f t="shared" si="39"/>
        <v>17</v>
      </c>
      <c r="B61">
        <f t="shared" si="2"/>
        <v>244587</v>
      </c>
      <c r="C61">
        <f t="shared" si="3"/>
        <v>0</v>
      </c>
      <c r="D61">
        <f t="shared" si="4"/>
        <v>108686</v>
      </c>
      <c r="E61">
        <f t="shared" si="5"/>
        <v>7</v>
      </c>
      <c r="F61">
        <f t="shared" si="14"/>
        <v>15526.571428571429</v>
      </c>
      <c r="G61">
        <f t="shared" si="6"/>
        <v>1</v>
      </c>
      <c r="H61">
        <f t="shared" si="0"/>
        <v>1</v>
      </c>
      <c r="I61">
        <f t="shared" si="1"/>
        <v>0.5</v>
      </c>
      <c r="J61">
        <f t="shared" si="15"/>
        <v>19961.800000000003</v>
      </c>
      <c r="K61">
        <f t="shared" si="16"/>
        <v>116931.8</v>
      </c>
      <c r="L61">
        <f t="shared" si="17"/>
        <v>3453687850.5</v>
      </c>
      <c r="M61">
        <f t="shared" si="7"/>
        <v>108686</v>
      </c>
      <c r="N61">
        <f t="shared" si="8"/>
        <v>96970</v>
      </c>
      <c r="O61" s="3">
        <f t="shared" si="9"/>
        <v>19960.8</v>
      </c>
      <c r="P61" s="3">
        <f t="shared" si="18"/>
        <v>18962.759999999998</v>
      </c>
      <c r="Q61" s="3">
        <f t="shared" si="18"/>
        <v>18014.621999999999</v>
      </c>
      <c r="R61" s="3">
        <f t="shared" si="18"/>
        <v>17113.890899999999</v>
      </c>
      <c r="S61" s="3">
        <f t="shared" si="18"/>
        <v>16258.196354999998</v>
      </c>
      <c r="T61" s="3">
        <f t="shared" si="19"/>
        <v>15445.286537249998</v>
      </c>
      <c r="U61" s="3">
        <f t="shared" si="19"/>
        <v>14673.022210387498</v>
      </c>
      <c r="V61" s="3">
        <f t="shared" si="19"/>
        <v>13939.371099868124</v>
      </c>
      <c r="W61" s="3">
        <f t="shared" si="19"/>
        <v>13242.402544874716</v>
      </c>
      <c r="X61" s="3">
        <f t="shared" si="20"/>
        <v>0</v>
      </c>
      <c r="Y61" s="3">
        <f t="shared" si="21"/>
        <v>0</v>
      </c>
      <c r="Z61" s="3">
        <f t="shared" si="22"/>
        <v>0</v>
      </c>
      <c r="AA61" s="3">
        <f t="shared" si="23"/>
        <v>0</v>
      </c>
      <c r="AB61" s="3">
        <f t="shared" si="24"/>
        <v>0</v>
      </c>
      <c r="AC61" s="3">
        <f t="shared" si="25"/>
        <v>0</v>
      </c>
      <c r="AD61" s="3">
        <f t="shared" si="26"/>
        <v>0</v>
      </c>
      <c r="AE61" s="3">
        <f t="shared" si="27"/>
        <v>0</v>
      </c>
      <c r="AF61" s="3">
        <f t="shared" si="28"/>
        <v>0</v>
      </c>
      <c r="AG61" s="3">
        <f t="shared" si="12"/>
        <v>1</v>
      </c>
      <c r="AH61" s="3">
        <f t="shared" si="29"/>
        <v>0.95</v>
      </c>
      <c r="AI61" s="3">
        <f t="shared" si="30"/>
        <v>0.90249999999999997</v>
      </c>
      <c r="AJ61" s="3">
        <f t="shared" si="31"/>
        <v>0.85737499999999989</v>
      </c>
      <c r="AK61" s="3">
        <f t="shared" si="32"/>
        <v>0.81450624999999988</v>
      </c>
      <c r="AL61" s="3">
        <f t="shared" si="33"/>
        <v>0.77378093749999988</v>
      </c>
      <c r="AM61" s="3">
        <f t="shared" si="34"/>
        <v>0.7350918906249998</v>
      </c>
      <c r="AN61" s="3">
        <f t="shared" si="35"/>
        <v>0.69833729609374973</v>
      </c>
      <c r="AO61" s="3">
        <f t="shared" si="36"/>
        <v>0.66342043128906225</v>
      </c>
    </row>
    <row r="62" spans="1:41">
      <c r="A62">
        <f t="shared" si="39"/>
        <v>18</v>
      </c>
      <c r="B62">
        <f t="shared" si="2"/>
        <v>244587</v>
      </c>
      <c r="C62">
        <f t="shared" si="3"/>
        <v>0</v>
      </c>
      <c r="D62">
        <f t="shared" si="4"/>
        <v>108686</v>
      </c>
      <c r="E62">
        <f t="shared" si="5"/>
        <v>7</v>
      </c>
      <c r="F62">
        <f t="shared" si="14"/>
        <v>15526.571428571429</v>
      </c>
      <c r="G62">
        <f t="shared" si="6"/>
        <v>1</v>
      </c>
      <c r="H62">
        <f t="shared" si="0"/>
        <v>1</v>
      </c>
      <c r="I62">
        <f t="shared" si="1"/>
        <v>0.5</v>
      </c>
      <c r="J62">
        <f t="shared" si="15"/>
        <v>19961.800000000003</v>
      </c>
      <c r="K62">
        <f t="shared" si="16"/>
        <v>116931.8</v>
      </c>
      <c r="L62">
        <f t="shared" si="17"/>
        <v>3453687850.5</v>
      </c>
      <c r="M62">
        <f t="shared" si="7"/>
        <v>108686</v>
      </c>
      <c r="N62">
        <f t="shared" si="8"/>
        <v>96970</v>
      </c>
      <c r="O62" s="3">
        <f t="shared" si="9"/>
        <v>19960.8</v>
      </c>
      <c r="P62" s="3">
        <f t="shared" si="18"/>
        <v>18962.759999999998</v>
      </c>
      <c r="Q62" s="3">
        <f t="shared" si="18"/>
        <v>18014.621999999999</v>
      </c>
      <c r="R62" s="3">
        <f t="shared" si="18"/>
        <v>17113.890899999999</v>
      </c>
      <c r="S62" s="3">
        <f t="shared" si="18"/>
        <v>16258.196354999998</v>
      </c>
      <c r="T62" s="3">
        <f t="shared" si="19"/>
        <v>15445.286537249998</v>
      </c>
      <c r="U62" s="3">
        <f t="shared" si="19"/>
        <v>14673.022210387498</v>
      </c>
      <c r="V62" s="3">
        <f t="shared" si="19"/>
        <v>13939.371099868124</v>
      </c>
      <c r="W62" s="3">
        <f t="shared" si="19"/>
        <v>13242.402544874716</v>
      </c>
      <c r="X62" s="3">
        <f t="shared" si="20"/>
        <v>0</v>
      </c>
      <c r="Y62" s="3">
        <f t="shared" si="21"/>
        <v>0</v>
      </c>
      <c r="Z62" s="3">
        <f t="shared" si="22"/>
        <v>0</v>
      </c>
      <c r="AA62" s="3">
        <f t="shared" si="23"/>
        <v>0</v>
      </c>
      <c r="AB62" s="3">
        <f t="shared" si="24"/>
        <v>0</v>
      </c>
      <c r="AC62" s="3">
        <f t="shared" si="25"/>
        <v>0</v>
      </c>
      <c r="AD62" s="3">
        <f t="shared" si="26"/>
        <v>0</v>
      </c>
      <c r="AE62" s="3">
        <f t="shared" si="27"/>
        <v>0</v>
      </c>
      <c r="AF62" s="3">
        <f t="shared" si="28"/>
        <v>0</v>
      </c>
      <c r="AG62" s="3">
        <f t="shared" si="12"/>
        <v>1</v>
      </c>
      <c r="AH62" s="3">
        <f t="shared" si="29"/>
        <v>0.95</v>
      </c>
      <c r="AI62" s="3">
        <f t="shared" si="30"/>
        <v>0.90249999999999997</v>
      </c>
      <c r="AJ62" s="3">
        <f t="shared" si="31"/>
        <v>0.85737499999999989</v>
      </c>
      <c r="AK62" s="3">
        <f t="shared" si="32"/>
        <v>0.81450624999999988</v>
      </c>
      <c r="AL62" s="3">
        <f t="shared" si="33"/>
        <v>0.77378093749999988</v>
      </c>
      <c r="AM62" s="3">
        <f t="shared" si="34"/>
        <v>0.7350918906249998</v>
      </c>
      <c r="AN62" s="3">
        <f t="shared" si="35"/>
        <v>0.69833729609374973</v>
      </c>
      <c r="AO62" s="3">
        <f t="shared" si="36"/>
        <v>0.66342043128906225</v>
      </c>
    </row>
    <row r="63" spans="1:41">
      <c r="A63">
        <f t="shared" si="39"/>
        <v>19</v>
      </c>
      <c r="B63">
        <f t="shared" si="2"/>
        <v>244587</v>
      </c>
      <c r="C63">
        <f t="shared" si="3"/>
        <v>0</v>
      </c>
      <c r="D63">
        <f t="shared" si="4"/>
        <v>108686</v>
      </c>
      <c r="E63">
        <f t="shared" si="5"/>
        <v>7</v>
      </c>
      <c r="F63">
        <f t="shared" si="14"/>
        <v>15526.571428571429</v>
      </c>
      <c r="G63">
        <f t="shared" si="6"/>
        <v>1</v>
      </c>
      <c r="H63">
        <f t="shared" si="0"/>
        <v>1</v>
      </c>
      <c r="I63">
        <f t="shared" si="1"/>
        <v>0.5</v>
      </c>
      <c r="J63">
        <f t="shared" si="15"/>
        <v>19961.800000000003</v>
      </c>
      <c r="K63">
        <f t="shared" si="16"/>
        <v>116931.8</v>
      </c>
      <c r="L63">
        <f t="shared" si="17"/>
        <v>3453687850.5</v>
      </c>
      <c r="M63">
        <f t="shared" si="7"/>
        <v>108686</v>
      </c>
      <c r="N63">
        <f t="shared" si="8"/>
        <v>96970</v>
      </c>
      <c r="O63" s="3">
        <f t="shared" si="9"/>
        <v>19960.8</v>
      </c>
      <c r="P63" s="3">
        <f t="shared" si="18"/>
        <v>18962.759999999998</v>
      </c>
      <c r="Q63" s="3">
        <f t="shared" si="18"/>
        <v>18014.621999999999</v>
      </c>
      <c r="R63" s="3">
        <f t="shared" si="18"/>
        <v>17113.890899999999</v>
      </c>
      <c r="S63" s="3">
        <f t="shared" si="18"/>
        <v>16258.196354999998</v>
      </c>
      <c r="T63" s="3">
        <f t="shared" si="19"/>
        <v>15445.286537249998</v>
      </c>
      <c r="U63" s="3">
        <f t="shared" si="19"/>
        <v>14673.022210387498</v>
      </c>
      <c r="V63" s="3">
        <f t="shared" si="19"/>
        <v>13939.371099868124</v>
      </c>
      <c r="W63" s="3">
        <f t="shared" si="19"/>
        <v>13242.402544874716</v>
      </c>
      <c r="X63" s="3">
        <f t="shared" si="20"/>
        <v>0</v>
      </c>
      <c r="Y63" s="3">
        <f t="shared" si="21"/>
        <v>0</v>
      </c>
      <c r="Z63" s="3">
        <f t="shared" si="22"/>
        <v>0</v>
      </c>
      <c r="AA63" s="3">
        <f t="shared" si="23"/>
        <v>0</v>
      </c>
      <c r="AB63" s="3">
        <f t="shared" si="24"/>
        <v>0</v>
      </c>
      <c r="AC63" s="3">
        <f t="shared" si="25"/>
        <v>0</v>
      </c>
      <c r="AD63" s="3">
        <f t="shared" si="26"/>
        <v>0</v>
      </c>
      <c r="AE63" s="3">
        <f t="shared" si="27"/>
        <v>0</v>
      </c>
      <c r="AF63" s="3">
        <f t="shared" si="28"/>
        <v>0</v>
      </c>
      <c r="AG63" s="3">
        <f t="shared" si="12"/>
        <v>1</v>
      </c>
      <c r="AH63" s="3">
        <f t="shared" si="29"/>
        <v>0.95</v>
      </c>
      <c r="AI63" s="3">
        <f t="shared" si="30"/>
        <v>0.90249999999999997</v>
      </c>
      <c r="AJ63" s="3">
        <f t="shared" si="31"/>
        <v>0.85737499999999989</v>
      </c>
      <c r="AK63" s="3">
        <f t="shared" si="32"/>
        <v>0.81450624999999988</v>
      </c>
      <c r="AL63" s="3">
        <f t="shared" si="33"/>
        <v>0.77378093749999988</v>
      </c>
      <c r="AM63" s="3">
        <f t="shared" si="34"/>
        <v>0.7350918906249998</v>
      </c>
      <c r="AN63" s="3">
        <f t="shared" si="35"/>
        <v>0.69833729609374973</v>
      </c>
      <c r="AO63" s="3">
        <f t="shared" si="36"/>
        <v>0.66342043128906225</v>
      </c>
    </row>
    <row r="64" spans="1:41">
      <c r="A64">
        <f t="shared" si="39"/>
        <v>20</v>
      </c>
      <c r="B64">
        <f t="shared" si="2"/>
        <v>244587</v>
      </c>
      <c r="C64">
        <f t="shared" si="3"/>
        <v>0</v>
      </c>
      <c r="D64">
        <f t="shared" si="4"/>
        <v>108686</v>
      </c>
      <c r="E64">
        <f t="shared" si="5"/>
        <v>7</v>
      </c>
      <c r="F64">
        <f t="shared" si="14"/>
        <v>15526.571428571429</v>
      </c>
      <c r="G64">
        <f t="shared" si="6"/>
        <v>1</v>
      </c>
      <c r="H64">
        <f t="shared" si="0"/>
        <v>1</v>
      </c>
      <c r="I64">
        <f t="shared" si="1"/>
        <v>0.5</v>
      </c>
      <c r="J64">
        <f t="shared" si="15"/>
        <v>19961.800000000003</v>
      </c>
      <c r="K64">
        <f t="shared" si="16"/>
        <v>116931.8</v>
      </c>
      <c r="L64">
        <f t="shared" si="17"/>
        <v>3453687850.5</v>
      </c>
      <c r="M64">
        <f t="shared" si="7"/>
        <v>108686</v>
      </c>
      <c r="N64">
        <f t="shared" si="8"/>
        <v>96970</v>
      </c>
      <c r="O64" s="3">
        <f t="shared" si="9"/>
        <v>19960.8</v>
      </c>
      <c r="P64" s="3">
        <f t="shared" si="18"/>
        <v>18962.759999999998</v>
      </c>
      <c r="Q64" s="3">
        <f t="shared" si="18"/>
        <v>18014.621999999999</v>
      </c>
      <c r="R64" s="3">
        <f t="shared" si="18"/>
        <v>17113.890899999999</v>
      </c>
      <c r="S64" s="3">
        <f t="shared" si="18"/>
        <v>16258.196354999998</v>
      </c>
      <c r="T64" s="3">
        <f t="shared" si="19"/>
        <v>15445.286537249998</v>
      </c>
      <c r="U64" s="3">
        <f t="shared" si="19"/>
        <v>14673.022210387498</v>
      </c>
      <c r="V64" s="3">
        <f t="shared" si="19"/>
        <v>13939.371099868124</v>
      </c>
      <c r="W64" s="3">
        <f t="shared" si="19"/>
        <v>13242.402544874716</v>
      </c>
      <c r="X64" s="3">
        <f t="shared" si="20"/>
        <v>0</v>
      </c>
      <c r="Y64" s="3">
        <f t="shared" si="21"/>
        <v>0</v>
      </c>
      <c r="Z64" s="3">
        <f t="shared" si="22"/>
        <v>0</v>
      </c>
      <c r="AA64" s="3">
        <f t="shared" si="23"/>
        <v>0</v>
      </c>
      <c r="AB64" s="3">
        <f t="shared" si="24"/>
        <v>0</v>
      </c>
      <c r="AC64" s="3">
        <f t="shared" si="25"/>
        <v>0</v>
      </c>
      <c r="AD64" s="3">
        <f t="shared" si="26"/>
        <v>0</v>
      </c>
      <c r="AE64" s="3">
        <f t="shared" si="27"/>
        <v>0</v>
      </c>
      <c r="AF64" s="3">
        <f t="shared" si="28"/>
        <v>0</v>
      </c>
      <c r="AG64" s="3">
        <f t="shared" si="12"/>
        <v>1</v>
      </c>
      <c r="AH64" s="3">
        <f t="shared" si="29"/>
        <v>0.95</v>
      </c>
      <c r="AI64" s="3">
        <f t="shared" si="30"/>
        <v>0.90249999999999997</v>
      </c>
      <c r="AJ64" s="3">
        <f t="shared" si="31"/>
        <v>0.85737499999999989</v>
      </c>
      <c r="AK64" s="3">
        <f t="shared" si="32"/>
        <v>0.81450624999999988</v>
      </c>
      <c r="AL64" s="3">
        <f t="shared" si="33"/>
        <v>0.77378093749999988</v>
      </c>
      <c r="AM64" s="3">
        <f t="shared" si="34"/>
        <v>0.7350918906249998</v>
      </c>
      <c r="AN64" s="3">
        <f t="shared" si="35"/>
        <v>0.69833729609374973</v>
      </c>
      <c r="AO64" s="3">
        <f t="shared" si="36"/>
        <v>0.66342043128906225</v>
      </c>
    </row>
    <row r="65" spans="1:41">
      <c r="A65">
        <f t="shared" si="39"/>
        <v>21</v>
      </c>
      <c r="B65">
        <f t="shared" si="2"/>
        <v>244587</v>
      </c>
      <c r="C65">
        <f t="shared" si="3"/>
        <v>0</v>
      </c>
      <c r="D65">
        <f t="shared" si="4"/>
        <v>108686</v>
      </c>
      <c r="E65">
        <f t="shared" si="5"/>
        <v>7</v>
      </c>
      <c r="F65">
        <f t="shared" si="14"/>
        <v>15526.571428571429</v>
      </c>
      <c r="G65">
        <f t="shared" si="6"/>
        <v>1</v>
      </c>
      <c r="H65">
        <f t="shared" si="0"/>
        <v>1</v>
      </c>
      <c r="I65">
        <f t="shared" si="1"/>
        <v>0.5</v>
      </c>
      <c r="J65">
        <f t="shared" si="15"/>
        <v>19961.800000000003</v>
      </c>
      <c r="K65">
        <f t="shared" si="16"/>
        <v>116931.8</v>
      </c>
      <c r="L65">
        <f t="shared" si="17"/>
        <v>3453687850.5</v>
      </c>
      <c r="M65">
        <f t="shared" si="7"/>
        <v>108686</v>
      </c>
      <c r="N65">
        <f t="shared" si="8"/>
        <v>96970</v>
      </c>
      <c r="O65" s="3">
        <f t="shared" si="9"/>
        <v>19960.8</v>
      </c>
      <c r="P65" s="3">
        <f t="shared" si="18"/>
        <v>18962.759999999998</v>
      </c>
      <c r="Q65" s="3">
        <f t="shared" si="18"/>
        <v>18014.621999999999</v>
      </c>
      <c r="R65" s="3">
        <f t="shared" si="18"/>
        <v>17113.890899999999</v>
      </c>
      <c r="S65" s="3">
        <f t="shared" si="18"/>
        <v>16258.196354999998</v>
      </c>
      <c r="T65" s="3">
        <f t="shared" si="19"/>
        <v>15445.286537249998</v>
      </c>
      <c r="U65" s="3">
        <f t="shared" si="19"/>
        <v>14673.022210387498</v>
      </c>
      <c r="V65" s="3">
        <f t="shared" si="19"/>
        <v>13939.371099868124</v>
      </c>
      <c r="W65" s="3">
        <f t="shared" si="19"/>
        <v>13242.402544874716</v>
      </c>
      <c r="X65" s="3">
        <f t="shared" si="20"/>
        <v>0</v>
      </c>
      <c r="Y65" s="3">
        <f t="shared" si="21"/>
        <v>0</v>
      </c>
      <c r="Z65" s="3">
        <f t="shared" si="22"/>
        <v>0</v>
      </c>
      <c r="AA65" s="3">
        <f t="shared" si="23"/>
        <v>0</v>
      </c>
      <c r="AB65" s="3">
        <f t="shared" si="24"/>
        <v>0</v>
      </c>
      <c r="AC65" s="3">
        <f t="shared" si="25"/>
        <v>0</v>
      </c>
      <c r="AD65" s="3">
        <f t="shared" si="26"/>
        <v>0</v>
      </c>
      <c r="AE65" s="3">
        <f t="shared" si="27"/>
        <v>0</v>
      </c>
      <c r="AF65" s="3">
        <f t="shared" si="28"/>
        <v>0</v>
      </c>
      <c r="AG65" s="3">
        <f t="shared" si="12"/>
        <v>1</v>
      </c>
      <c r="AH65" s="3">
        <f t="shared" si="29"/>
        <v>0.95</v>
      </c>
      <c r="AI65" s="3">
        <f t="shared" si="30"/>
        <v>0.90249999999999997</v>
      </c>
      <c r="AJ65" s="3">
        <f t="shared" si="31"/>
        <v>0.85737499999999989</v>
      </c>
      <c r="AK65" s="3">
        <f t="shared" si="32"/>
        <v>0.81450624999999988</v>
      </c>
      <c r="AL65" s="3">
        <f t="shared" si="33"/>
        <v>0.77378093749999988</v>
      </c>
      <c r="AM65" s="3">
        <f t="shared" si="34"/>
        <v>0.7350918906249998</v>
      </c>
      <c r="AN65" s="3">
        <f t="shared" si="35"/>
        <v>0.69833729609374973</v>
      </c>
      <c r="AO65" s="3">
        <f t="shared" si="36"/>
        <v>0.66342043128906225</v>
      </c>
    </row>
    <row r="66" spans="1:41">
      <c r="A66">
        <f t="shared" si="39"/>
        <v>22</v>
      </c>
      <c r="B66">
        <f t="shared" si="2"/>
        <v>244587</v>
      </c>
      <c r="C66">
        <f t="shared" si="3"/>
        <v>0</v>
      </c>
      <c r="D66">
        <f t="shared" si="4"/>
        <v>108686</v>
      </c>
      <c r="E66">
        <f t="shared" si="5"/>
        <v>7</v>
      </c>
      <c r="F66">
        <f t="shared" si="14"/>
        <v>15526.571428571429</v>
      </c>
      <c r="G66">
        <f t="shared" si="6"/>
        <v>1</v>
      </c>
      <c r="H66">
        <f t="shared" si="0"/>
        <v>1</v>
      </c>
      <c r="I66">
        <f t="shared" si="1"/>
        <v>0.5</v>
      </c>
      <c r="J66">
        <f t="shared" si="15"/>
        <v>19961.800000000003</v>
      </c>
      <c r="K66">
        <f t="shared" si="16"/>
        <v>116931.8</v>
      </c>
      <c r="L66">
        <f t="shared" si="17"/>
        <v>3453687850.5</v>
      </c>
      <c r="M66">
        <f t="shared" si="7"/>
        <v>108686</v>
      </c>
      <c r="N66">
        <f t="shared" si="8"/>
        <v>96970</v>
      </c>
      <c r="O66" s="3">
        <f t="shared" si="9"/>
        <v>19960.8</v>
      </c>
      <c r="P66" s="3">
        <f t="shared" si="18"/>
        <v>18962.759999999998</v>
      </c>
      <c r="Q66" s="3">
        <f t="shared" si="18"/>
        <v>18014.621999999999</v>
      </c>
      <c r="R66" s="3">
        <f t="shared" si="18"/>
        <v>17113.890899999999</v>
      </c>
      <c r="S66" s="3">
        <f t="shared" si="18"/>
        <v>16258.196354999998</v>
      </c>
      <c r="T66" s="3">
        <f t="shared" si="19"/>
        <v>15445.286537249998</v>
      </c>
      <c r="U66" s="3">
        <f t="shared" si="19"/>
        <v>14673.022210387498</v>
      </c>
      <c r="V66" s="3">
        <f t="shared" si="19"/>
        <v>13939.371099868124</v>
      </c>
      <c r="W66" s="3">
        <f t="shared" si="19"/>
        <v>13242.402544874716</v>
      </c>
      <c r="X66" s="3">
        <f t="shared" si="20"/>
        <v>0</v>
      </c>
      <c r="Y66" s="3">
        <f t="shared" si="21"/>
        <v>0</v>
      </c>
      <c r="Z66" s="3">
        <f t="shared" si="22"/>
        <v>0</v>
      </c>
      <c r="AA66" s="3">
        <f t="shared" si="23"/>
        <v>0</v>
      </c>
      <c r="AB66" s="3">
        <f t="shared" si="24"/>
        <v>0</v>
      </c>
      <c r="AC66" s="3">
        <f t="shared" si="25"/>
        <v>0</v>
      </c>
      <c r="AD66" s="3">
        <f t="shared" si="26"/>
        <v>0</v>
      </c>
      <c r="AE66" s="3">
        <f t="shared" si="27"/>
        <v>0</v>
      </c>
      <c r="AF66" s="3">
        <f t="shared" si="28"/>
        <v>0</v>
      </c>
      <c r="AG66" s="3">
        <f t="shared" si="12"/>
        <v>1</v>
      </c>
      <c r="AH66" s="3">
        <f t="shared" si="29"/>
        <v>0.95</v>
      </c>
      <c r="AI66" s="3">
        <f t="shared" si="30"/>
        <v>0.90249999999999997</v>
      </c>
      <c r="AJ66" s="3">
        <f t="shared" si="31"/>
        <v>0.85737499999999989</v>
      </c>
      <c r="AK66" s="3">
        <f t="shared" si="32"/>
        <v>0.81450624999999988</v>
      </c>
      <c r="AL66" s="3">
        <f t="shared" si="33"/>
        <v>0.77378093749999988</v>
      </c>
      <c r="AM66" s="3">
        <f t="shared" si="34"/>
        <v>0.7350918906249998</v>
      </c>
      <c r="AN66" s="3">
        <f t="shared" si="35"/>
        <v>0.69833729609374973</v>
      </c>
      <c r="AO66" s="3">
        <f t="shared" si="36"/>
        <v>0.66342043128906225</v>
      </c>
    </row>
    <row r="67" spans="1:41">
      <c r="A67">
        <f t="shared" si="39"/>
        <v>23</v>
      </c>
      <c r="B67">
        <f t="shared" si="2"/>
        <v>244587</v>
      </c>
      <c r="C67">
        <f t="shared" si="3"/>
        <v>0</v>
      </c>
      <c r="D67">
        <f t="shared" si="4"/>
        <v>108686</v>
      </c>
      <c r="E67">
        <f t="shared" si="5"/>
        <v>7</v>
      </c>
      <c r="F67">
        <f t="shared" si="14"/>
        <v>15526.571428571429</v>
      </c>
      <c r="G67">
        <f t="shared" si="6"/>
        <v>1</v>
      </c>
      <c r="H67">
        <f t="shared" si="0"/>
        <v>1</v>
      </c>
      <c r="I67">
        <f t="shared" si="1"/>
        <v>0.5</v>
      </c>
      <c r="J67">
        <f t="shared" si="15"/>
        <v>19961.800000000003</v>
      </c>
      <c r="K67">
        <f t="shared" si="16"/>
        <v>116931.8</v>
      </c>
      <c r="L67">
        <f t="shared" si="17"/>
        <v>3453687850.5</v>
      </c>
      <c r="M67">
        <f t="shared" si="7"/>
        <v>108686</v>
      </c>
      <c r="N67">
        <f t="shared" si="8"/>
        <v>96970</v>
      </c>
      <c r="O67" s="3">
        <f t="shared" si="9"/>
        <v>19960.8</v>
      </c>
      <c r="P67" s="3">
        <f t="shared" si="18"/>
        <v>18962.759999999998</v>
      </c>
      <c r="Q67" s="3">
        <f t="shared" si="18"/>
        <v>18014.621999999999</v>
      </c>
      <c r="R67" s="3">
        <f t="shared" si="18"/>
        <v>17113.890899999999</v>
      </c>
      <c r="S67" s="3">
        <f t="shared" si="18"/>
        <v>16258.196354999998</v>
      </c>
      <c r="T67" s="3">
        <f t="shared" si="19"/>
        <v>15445.286537249998</v>
      </c>
      <c r="U67" s="3">
        <f t="shared" si="19"/>
        <v>14673.022210387498</v>
      </c>
      <c r="V67" s="3">
        <f t="shared" si="19"/>
        <v>13939.371099868124</v>
      </c>
      <c r="W67" s="3">
        <f t="shared" si="19"/>
        <v>13242.402544874716</v>
      </c>
      <c r="X67" s="3">
        <f t="shared" si="20"/>
        <v>0</v>
      </c>
      <c r="Y67" s="3">
        <f t="shared" si="21"/>
        <v>0</v>
      </c>
      <c r="Z67" s="3">
        <f t="shared" si="22"/>
        <v>0</v>
      </c>
      <c r="AA67" s="3">
        <f t="shared" si="23"/>
        <v>0</v>
      </c>
      <c r="AB67" s="3">
        <f t="shared" si="24"/>
        <v>0</v>
      </c>
      <c r="AC67" s="3">
        <f t="shared" si="25"/>
        <v>0</v>
      </c>
      <c r="AD67" s="3">
        <f t="shared" si="26"/>
        <v>0</v>
      </c>
      <c r="AE67" s="3">
        <f t="shared" si="27"/>
        <v>0</v>
      </c>
      <c r="AF67" s="3">
        <f t="shared" si="28"/>
        <v>0</v>
      </c>
      <c r="AG67" s="3">
        <f t="shared" si="12"/>
        <v>1</v>
      </c>
      <c r="AH67" s="3">
        <f t="shared" si="29"/>
        <v>0.95</v>
      </c>
      <c r="AI67" s="3">
        <f t="shared" si="30"/>
        <v>0.90249999999999997</v>
      </c>
      <c r="AJ67" s="3">
        <f t="shared" si="31"/>
        <v>0.85737499999999989</v>
      </c>
      <c r="AK67" s="3">
        <f t="shared" si="32"/>
        <v>0.81450624999999988</v>
      </c>
      <c r="AL67" s="3">
        <f t="shared" si="33"/>
        <v>0.77378093749999988</v>
      </c>
      <c r="AM67" s="3">
        <f t="shared" si="34"/>
        <v>0.7350918906249998</v>
      </c>
      <c r="AN67" s="3">
        <f t="shared" si="35"/>
        <v>0.69833729609374973</v>
      </c>
      <c r="AO67" s="3">
        <f t="shared" si="36"/>
        <v>0.66342043128906225</v>
      </c>
    </row>
    <row r="68" spans="1:41">
      <c r="A68">
        <f t="shared" si="39"/>
        <v>24</v>
      </c>
      <c r="B68">
        <f t="shared" si="2"/>
        <v>244587</v>
      </c>
      <c r="C68">
        <f t="shared" si="3"/>
        <v>0</v>
      </c>
      <c r="D68">
        <f t="shared" si="4"/>
        <v>108686</v>
      </c>
      <c r="E68">
        <f t="shared" si="5"/>
        <v>7</v>
      </c>
      <c r="F68">
        <f t="shared" si="14"/>
        <v>15526.571428571429</v>
      </c>
      <c r="G68">
        <f t="shared" si="6"/>
        <v>1</v>
      </c>
      <c r="H68">
        <f t="shared" si="0"/>
        <v>1</v>
      </c>
      <c r="I68">
        <f t="shared" si="1"/>
        <v>0.5</v>
      </c>
      <c r="J68">
        <f t="shared" si="15"/>
        <v>19961.800000000003</v>
      </c>
      <c r="K68">
        <f t="shared" si="16"/>
        <v>116931.8</v>
      </c>
      <c r="L68">
        <f t="shared" si="17"/>
        <v>3453687850.5</v>
      </c>
      <c r="M68">
        <f t="shared" si="7"/>
        <v>108686</v>
      </c>
      <c r="N68">
        <f t="shared" si="8"/>
        <v>96970</v>
      </c>
      <c r="O68" s="3">
        <f t="shared" si="9"/>
        <v>19960.8</v>
      </c>
      <c r="P68" s="3">
        <f t="shared" si="18"/>
        <v>18962.759999999998</v>
      </c>
      <c r="Q68" s="3">
        <f t="shared" si="18"/>
        <v>18014.621999999999</v>
      </c>
      <c r="R68" s="3">
        <f t="shared" si="18"/>
        <v>17113.890899999999</v>
      </c>
      <c r="S68" s="3">
        <f t="shared" si="18"/>
        <v>16258.196354999998</v>
      </c>
      <c r="T68" s="3">
        <f t="shared" si="19"/>
        <v>15445.286537249998</v>
      </c>
      <c r="U68" s="3">
        <f t="shared" si="19"/>
        <v>14673.022210387498</v>
      </c>
      <c r="V68" s="3">
        <f t="shared" si="19"/>
        <v>13939.371099868124</v>
      </c>
      <c r="W68" s="3">
        <f t="shared" si="19"/>
        <v>13242.402544874716</v>
      </c>
      <c r="X68" s="3">
        <f t="shared" si="20"/>
        <v>0</v>
      </c>
      <c r="Y68" s="3">
        <f t="shared" si="21"/>
        <v>0</v>
      </c>
      <c r="Z68" s="3">
        <f t="shared" si="22"/>
        <v>0</v>
      </c>
      <c r="AA68" s="3">
        <f t="shared" si="23"/>
        <v>0</v>
      </c>
      <c r="AB68" s="3">
        <f t="shared" si="24"/>
        <v>0</v>
      </c>
      <c r="AC68" s="3">
        <f t="shared" si="25"/>
        <v>0</v>
      </c>
      <c r="AD68" s="3">
        <f t="shared" si="26"/>
        <v>0</v>
      </c>
      <c r="AE68" s="3">
        <f t="shared" si="27"/>
        <v>0</v>
      </c>
      <c r="AF68" s="3">
        <f t="shared" si="28"/>
        <v>0</v>
      </c>
      <c r="AG68" s="3">
        <f t="shared" si="12"/>
        <v>1</v>
      </c>
      <c r="AH68" s="3">
        <f t="shared" si="29"/>
        <v>0.95</v>
      </c>
      <c r="AI68" s="3">
        <f t="shared" si="30"/>
        <v>0.90249999999999997</v>
      </c>
      <c r="AJ68" s="3">
        <f t="shared" si="31"/>
        <v>0.85737499999999989</v>
      </c>
      <c r="AK68" s="3">
        <f t="shared" si="32"/>
        <v>0.81450624999999988</v>
      </c>
      <c r="AL68" s="3">
        <f t="shared" si="33"/>
        <v>0.77378093749999988</v>
      </c>
      <c r="AM68" s="3">
        <f t="shared" si="34"/>
        <v>0.7350918906249998</v>
      </c>
      <c r="AN68" s="3">
        <f t="shared" si="35"/>
        <v>0.69833729609374973</v>
      </c>
      <c r="AO68" s="3">
        <f t="shared" si="36"/>
        <v>0.66342043128906225</v>
      </c>
    </row>
    <row r="69" spans="1:41">
      <c r="A69">
        <f t="shared" si="39"/>
        <v>25</v>
      </c>
      <c r="B69">
        <f t="shared" si="2"/>
        <v>244587</v>
      </c>
      <c r="C69">
        <f t="shared" si="3"/>
        <v>0</v>
      </c>
      <c r="D69">
        <f t="shared" si="4"/>
        <v>108686</v>
      </c>
      <c r="E69">
        <f t="shared" si="5"/>
        <v>7</v>
      </c>
      <c r="F69">
        <f t="shared" si="14"/>
        <v>15526.571428571429</v>
      </c>
      <c r="G69">
        <f t="shared" si="6"/>
        <v>1</v>
      </c>
      <c r="H69">
        <f t="shared" si="0"/>
        <v>1</v>
      </c>
      <c r="I69">
        <f t="shared" si="1"/>
        <v>0.5</v>
      </c>
      <c r="J69">
        <f t="shared" si="15"/>
        <v>19961.800000000003</v>
      </c>
      <c r="K69">
        <f t="shared" si="16"/>
        <v>116931.8</v>
      </c>
      <c r="L69">
        <f t="shared" si="17"/>
        <v>3453687850.5</v>
      </c>
      <c r="M69">
        <f t="shared" si="7"/>
        <v>108686</v>
      </c>
      <c r="N69">
        <f t="shared" si="8"/>
        <v>96970</v>
      </c>
      <c r="O69" s="3">
        <f t="shared" si="9"/>
        <v>19960.8</v>
      </c>
      <c r="P69" s="3">
        <f t="shared" si="18"/>
        <v>18962.759999999998</v>
      </c>
      <c r="Q69" s="3">
        <f t="shared" si="18"/>
        <v>18014.621999999999</v>
      </c>
      <c r="R69" s="3">
        <f t="shared" si="18"/>
        <v>17113.890899999999</v>
      </c>
      <c r="S69" s="3">
        <f t="shared" si="18"/>
        <v>16258.196354999998</v>
      </c>
      <c r="T69" s="3">
        <f t="shared" si="19"/>
        <v>15445.286537249998</v>
      </c>
      <c r="U69" s="3">
        <f t="shared" si="19"/>
        <v>14673.022210387498</v>
      </c>
      <c r="V69" s="3">
        <f t="shared" si="19"/>
        <v>13939.371099868124</v>
      </c>
      <c r="W69" s="3">
        <f t="shared" si="19"/>
        <v>13242.402544874716</v>
      </c>
      <c r="X69" s="3">
        <f t="shared" si="20"/>
        <v>0</v>
      </c>
      <c r="Y69" s="3">
        <f t="shared" si="21"/>
        <v>0</v>
      </c>
      <c r="Z69" s="3">
        <f t="shared" si="22"/>
        <v>0</v>
      </c>
      <c r="AA69" s="3">
        <f t="shared" si="23"/>
        <v>0</v>
      </c>
      <c r="AB69" s="3">
        <f t="shared" si="24"/>
        <v>0</v>
      </c>
      <c r="AC69" s="3">
        <f t="shared" si="25"/>
        <v>0</v>
      </c>
      <c r="AD69" s="3">
        <f t="shared" si="26"/>
        <v>0</v>
      </c>
      <c r="AE69" s="3">
        <f t="shared" si="27"/>
        <v>0</v>
      </c>
      <c r="AF69" s="3">
        <f t="shared" si="28"/>
        <v>0</v>
      </c>
      <c r="AG69" s="3">
        <f t="shared" si="12"/>
        <v>1</v>
      </c>
      <c r="AH69" s="3">
        <f t="shared" si="29"/>
        <v>0.95</v>
      </c>
      <c r="AI69" s="3">
        <f t="shared" si="30"/>
        <v>0.90249999999999997</v>
      </c>
      <c r="AJ69" s="3">
        <f t="shared" si="31"/>
        <v>0.85737499999999989</v>
      </c>
      <c r="AK69" s="3">
        <f t="shared" si="32"/>
        <v>0.81450624999999988</v>
      </c>
      <c r="AL69" s="3">
        <f t="shared" si="33"/>
        <v>0.77378093749999988</v>
      </c>
      <c r="AM69" s="3">
        <f t="shared" si="34"/>
        <v>0.7350918906249998</v>
      </c>
      <c r="AN69" s="3">
        <f t="shared" si="35"/>
        <v>0.69833729609374973</v>
      </c>
      <c r="AO69" s="3">
        <f t="shared" si="36"/>
        <v>0.66342043128906225</v>
      </c>
    </row>
    <row r="70" spans="1:41">
      <c r="A70">
        <f t="shared" si="39"/>
        <v>26</v>
      </c>
      <c r="B70">
        <f t="shared" si="2"/>
        <v>244587</v>
      </c>
      <c r="C70">
        <f t="shared" si="3"/>
        <v>0</v>
      </c>
      <c r="D70">
        <f t="shared" si="4"/>
        <v>108686</v>
      </c>
      <c r="E70">
        <f t="shared" si="5"/>
        <v>7</v>
      </c>
      <c r="F70">
        <f t="shared" si="14"/>
        <v>15526.571428571429</v>
      </c>
      <c r="G70">
        <f t="shared" si="6"/>
        <v>1</v>
      </c>
      <c r="H70">
        <f t="shared" si="0"/>
        <v>1</v>
      </c>
      <c r="I70">
        <f t="shared" si="1"/>
        <v>0.5</v>
      </c>
      <c r="J70">
        <f t="shared" si="15"/>
        <v>19961.800000000003</v>
      </c>
      <c r="K70">
        <f t="shared" si="16"/>
        <v>116931.8</v>
      </c>
      <c r="L70">
        <f t="shared" si="17"/>
        <v>3453687850.5</v>
      </c>
      <c r="M70">
        <f t="shared" si="7"/>
        <v>108686</v>
      </c>
      <c r="N70">
        <f t="shared" si="8"/>
        <v>96970</v>
      </c>
      <c r="O70" s="3">
        <f t="shared" si="9"/>
        <v>19960.8</v>
      </c>
      <c r="P70" s="3">
        <f t="shared" si="18"/>
        <v>18962.759999999998</v>
      </c>
      <c r="Q70" s="3">
        <f t="shared" si="18"/>
        <v>18014.621999999999</v>
      </c>
      <c r="R70" s="3">
        <f t="shared" si="18"/>
        <v>17113.890899999999</v>
      </c>
      <c r="S70" s="3">
        <f t="shared" si="18"/>
        <v>16258.196354999998</v>
      </c>
      <c r="T70" s="3">
        <f t="shared" si="19"/>
        <v>15445.286537249998</v>
      </c>
      <c r="U70" s="3">
        <f t="shared" si="19"/>
        <v>14673.022210387498</v>
      </c>
      <c r="V70" s="3">
        <f t="shared" si="19"/>
        <v>13939.371099868124</v>
      </c>
      <c r="W70" s="3">
        <f t="shared" si="19"/>
        <v>13242.402544874716</v>
      </c>
      <c r="X70" s="3">
        <f t="shared" si="20"/>
        <v>0</v>
      </c>
      <c r="Y70" s="3">
        <f t="shared" si="21"/>
        <v>0</v>
      </c>
      <c r="Z70" s="3">
        <f t="shared" si="22"/>
        <v>0</v>
      </c>
      <c r="AA70" s="3">
        <f t="shared" si="23"/>
        <v>0</v>
      </c>
      <c r="AB70" s="3">
        <f t="shared" si="24"/>
        <v>0</v>
      </c>
      <c r="AC70" s="3">
        <f t="shared" si="25"/>
        <v>0</v>
      </c>
      <c r="AD70" s="3">
        <f t="shared" si="26"/>
        <v>0</v>
      </c>
      <c r="AE70" s="3">
        <f t="shared" si="27"/>
        <v>0</v>
      </c>
      <c r="AF70" s="3">
        <f t="shared" si="28"/>
        <v>0</v>
      </c>
      <c r="AG70" s="3">
        <f t="shared" si="12"/>
        <v>1</v>
      </c>
      <c r="AH70" s="3">
        <f t="shared" si="29"/>
        <v>0.95</v>
      </c>
      <c r="AI70" s="3">
        <f t="shared" si="30"/>
        <v>0.90249999999999997</v>
      </c>
      <c r="AJ70" s="3">
        <f t="shared" si="31"/>
        <v>0.85737499999999989</v>
      </c>
      <c r="AK70" s="3">
        <f t="shared" si="32"/>
        <v>0.81450624999999988</v>
      </c>
      <c r="AL70" s="3">
        <f t="shared" si="33"/>
        <v>0.77378093749999988</v>
      </c>
      <c r="AM70" s="3">
        <f t="shared" si="34"/>
        <v>0.7350918906249998</v>
      </c>
      <c r="AN70" s="3">
        <f t="shared" si="35"/>
        <v>0.69833729609374973</v>
      </c>
      <c r="AO70" s="3">
        <f t="shared" si="36"/>
        <v>0.66342043128906225</v>
      </c>
    </row>
    <row r="71" spans="1:41">
      <c r="A71">
        <f t="shared" si="39"/>
        <v>27</v>
      </c>
      <c r="B71">
        <f t="shared" si="2"/>
        <v>244587</v>
      </c>
      <c r="C71">
        <f t="shared" si="3"/>
        <v>0</v>
      </c>
      <c r="D71">
        <f t="shared" si="4"/>
        <v>108686</v>
      </c>
      <c r="E71">
        <f t="shared" si="5"/>
        <v>7</v>
      </c>
      <c r="F71">
        <f t="shared" si="14"/>
        <v>15526.571428571429</v>
      </c>
      <c r="G71">
        <f t="shared" si="6"/>
        <v>1</v>
      </c>
      <c r="H71">
        <f t="shared" si="0"/>
        <v>1</v>
      </c>
      <c r="I71">
        <f t="shared" si="1"/>
        <v>0.5</v>
      </c>
      <c r="J71">
        <f t="shared" si="15"/>
        <v>19961.800000000003</v>
      </c>
      <c r="K71">
        <f t="shared" si="16"/>
        <v>116931.8</v>
      </c>
      <c r="L71">
        <f t="shared" si="17"/>
        <v>3453687850.5</v>
      </c>
      <c r="M71">
        <f t="shared" si="7"/>
        <v>108686</v>
      </c>
      <c r="N71">
        <f t="shared" si="8"/>
        <v>96970</v>
      </c>
      <c r="O71" s="3">
        <f t="shared" si="9"/>
        <v>19960.8</v>
      </c>
      <c r="P71" s="3">
        <f t="shared" si="18"/>
        <v>18962.759999999998</v>
      </c>
      <c r="Q71" s="3">
        <f t="shared" si="18"/>
        <v>18014.621999999999</v>
      </c>
      <c r="R71" s="3">
        <f t="shared" si="18"/>
        <v>17113.890899999999</v>
      </c>
      <c r="S71" s="3">
        <f t="shared" si="18"/>
        <v>16258.196354999998</v>
      </c>
      <c r="T71" s="3">
        <f t="shared" si="19"/>
        <v>15445.286537249998</v>
      </c>
      <c r="U71" s="3">
        <f t="shared" si="19"/>
        <v>14673.022210387498</v>
      </c>
      <c r="V71" s="3">
        <f t="shared" si="19"/>
        <v>13939.371099868124</v>
      </c>
      <c r="W71" s="3">
        <f t="shared" si="19"/>
        <v>13242.402544874716</v>
      </c>
      <c r="X71" s="3">
        <f t="shared" si="20"/>
        <v>0</v>
      </c>
      <c r="Y71" s="3">
        <f t="shared" si="21"/>
        <v>0</v>
      </c>
      <c r="Z71" s="3">
        <f t="shared" si="22"/>
        <v>0</v>
      </c>
      <c r="AA71" s="3">
        <f t="shared" si="23"/>
        <v>0</v>
      </c>
      <c r="AB71" s="3">
        <f t="shared" si="24"/>
        <v>0</v>
      </c>
      <c r="AC71" s="3">
        <f t="shared" si="25"/>
        <v>0</v>
      </c>
      <c r="AD71" s="3">
        <f t="shared" si="26"/>
        <v>0</v>
      </c>
      <c r="AE71" s="3">
        <f t="shared" si="27"/>
        <v>0</v>
      </c>
      <c r="AF71" s="3">
        <f t="shared" si="28"/>
        <v>0</v>
      </c>
      <c r="AG71" s="3">
        <f t="shared" si="12"/>
        <v>1</v>
      </c>
      <c r="AH71" s="3">
        <f t="shared" si="29"/>
        <v>0.95</v>
      </c>
      <c r="AI71" s="3">
        <f t="shared" si="30"/>
        <v>0.90249999999999997</v>
      </c>
      <c r="AJ71" s="3">
        <f t="shared" si="31"/>
        <v>0.85737499999999989</v>
      </c>
      <c r="AK71" s="3">
        <f t="shared" si="32"/>
        <v>0.81450624999999988</v>
      </c>
      <c r="AL71" s="3">
        <f t="shared" si="33"/>
        <v>0.77378093749999988</v>
      </c>
      <c r="AM71" s="3">
        <f t="shared" si="34"/>
        <v>0.7350918906249998</v>
      </c>
      <c r="AN71" s="3">
        <f t="shared" si="35"/>
        <v>0.69833729609374973</v>
      </c>
      <c r="AO71" s="3">
        <f t="shared" si="36"/>
        <v>0.66342043128906225</v>
      </c>
    </row>
    <row r="72" spans="1:41">
      <c r="A72">
        <f t="shared" ref="A72:A75" si="40">A71+1</f>
        <v>28</v>
      </c>
      <c r="B72">
        <f t="shared" si="2"/>
        <v>244587</v>
      </c>
      <c r="C72">
        <f t="shared" si="3"/>
        <v>0</v>
      </c>
      <c r="D72">
        <f t="shared" si="4"/>
        <v>108686</v>
      </c>
      <c r="E72">
        <f t="shared" si="5"/>
        <v>7</v>
      </c>
      <c r="F72">
        <f t="shared" si="14"/>
        <v>15526.571428571429</v>
      </c>
      <c r="G72">
        <f t="shared" si="6"/>
        <v>1</v>
      </c>
      <c r="H72">
        <f t="shared" si="0"/>
        <v>1</v>
      </c>
      <c r="I72">
        <f t="shared" si="1"/>
        <v>0.5</v>
      </c>
      <c r="J72">
        <f t="shared" si="15"/>
        <v>19961.800000000003</v>
      </c>
      <c r="K72">
        <f t="shared" si="16"/>
        <v>116931.8</v>
      </c>
      <c r="L72">
        <f t="shared" si="17"/>
        <v>3453687850.5</v>
      </c>
      <c r="M72">
        <f t="shared" si="7"/>
        <v>108686</v>
      </c>
      <c r="N72">
        <f t="shared" si="8"/>
        <v>96970</v>
      </c>
      <c r="O72" s="3">
        <f t="shared" si="9"/>
        <v>19960.8</v>
      </c>
      <c r="P72" s="3">
        <f t="shared" si="18"/>
        <v>18962.759999999998</v>
      </c>
      <c r="Q72" s="3">
        <f t="shared" si="18"/>
        <v>18014.621999999999</v>
      </c>
      <c r="R72" s="3">
        <f t="shared" si="18"/>
        <v>17113.890899999999</v>
      </c>
      <c r="S72" s="3">
        <f t="shared" si="18"/>
        <v>16258.196354999998</v>
      </c>
      <c r="T72" s="3">
        <f t="shared" si="19"/>
        <v>15445.286537249998</v>
      </c>
      <c r="U72" s="3">
        <f t="shared" si="19"/>
        <v>14673.022210387498</v>
      </c>
      <c r="V72" s="3">
        <f t="shared" si="19"/>
        <v>13939.371099868124</v>
      </c>
      <c r="W72" s="3">
        <f t="shared" si="19"/>
        <v>13242.402544874716</v>
      </c>
      <c r="X72" s="3">
        <f t="shared" si="20"/>
        <v>0</v>
      </c>
      <c r="Y72" s="3">
        <f t="shared" si="21"/>
        <v>0</v>
      </c>
      <c r="Z72" s="3">
        <f t="shared" si="22"/>
        <v>0</v>
      </c>
      <c r="AA72" s="3">
        <f t="shared" si="23"/>
        <v>0</v>
      </c>
      <c r="AB72" s="3">
        <f t="shared" si="24"/>
        <v>0</v>
      </c>
      <c r="AC72" s="3">
        <f t="shared" si="25"/>
        <v>0</v>
      </c>
      <c r="AD72" s="3">
        <f t="shared" si="26"/>
        <v>0</v>
      </c>
      <c r="AE72" s="3">
        <f t="shared" si="27"/>
        <v>0</v>
      </c>
      <c r="AF72" s="3">
        <f t="shared" si="28"/>
        <v>0</v>
      </c>
      <c r="AG72" s="3">
        <f t="shared" si="12"/>
        <v>1</v>
      </c>
      <c r="AH72" s="3">
        <f t="shared" si="29"/>
        <v>0.95</v>
      </c>
      <c r="AI72" s="3">
        <f t="shared" si="30"/>
        <v>0.90249999999999997</v>
      </c>
      <c r="AJ72" s="3">
        <f t="shared" si="31"/>
        <v>0.85737499999999989</v>
      </c>
      <c r="AK72" s="3">
        <f t="shared" si="32"/>
        <v>0.81450624999999988</v>
      </c>
      <c r="AL72" s="3">
        <f t="shared" si="33"/>
        <v>0.77378093749999988</v>
      </c>
      <c r="AM72" s="3">
        <f t="shared" si="34"/>
        <v>0.7350918906249998</v>
      </c>
      <c r="AN72" s="3">
        <f t="shared" si="35"/>
        <v>0.69833729609374973</v>
      </c>
      <c r="AO72" s="3">
        <f t="shared" si="36"/>
        <v>0.66342043128906225</v>
      </c>
    </row>
    <row r="73" spans="1:41">
      <c r="A73">
        <f t="shared" si="40"/>
        <v>29</v>
      </c>
      <c r="B73">
        <f t="shared" si="2"/>
        <v>244587</v>
      </c>
      <c r="C73">
        <f t="shared" si="3"/>
        <v>0</v>
      </c>
      <c r="D73">
        <f t="shared" si="4"/>
        <v>108686</v>
      </c>
      <c r="E73">
        <f t="shared" si="5"/>
        <v>7</v>
      </c>
      <c r="F73">
        <f t="shared" si="14"/>
        <v>15526.571428571429</v>
      </c>
      <c r="G73">
        <f t="shared" si="6"/>
        <v>1</v>
      </c>
      <c r="H73">
        <f t="shared" si="0"/>
        <v>1</v>
      </c>
      <c r="I73">
        <f t="shared" si="1"/>
        <v>0.5</v>
      </c>
      <c r="J73">
        <f t="shared" si="15"/>
        <v>19961.800000000003</v>
      </c>
      <c r="K73">
        <f t="shared" si="16"/>
        <v>116931.8</v>
      </c>
      <c r="L73">
        <f t="shared" si="17"/>
        <v>3453687850.5</v>
      </c>
      <c r="M73">
        <f t="shared" si="7"/>
        <v>108686</v>
      </c>
      <c r="N73">
        <f t="shared" si="8"/>
        <v>96970</v>
      </c>
      <c r="O73" s="3">
        <f t="shared" si="9"/>
        <v>19960.8</v>
      </c>
      <c r="P73" s="3">
        <f t="shared" si="18"/>
        <v>18962.759999999998</v>
      </c>
      <c r="Q73" s="3">
        <f t="shared" si="18"/>
        <v>18014.621999999999</v>
      </c>
      <c r="R73" s="3">
        <f t="shared" si="18"/>
        <v>17113.890899999999</v>
      </c>
      <c r="S73" s="3">
        <f t="shared" si="18"/>
        <v>16258.196354999998</v>
      </c>
      <c r="T73" s="3">
        <f t="shared" si="19"/>
        <v>15445.286537249998</v>
      </c>
      <c r="U73" s="3">
        <f t="shared" si="19"/>
        <v>14673.022210387498</v>
      </c>
      <c r="V73" s="3">
        <f t="shared" si="19"/>
        <v>13939.371099868124</v>
      </c>
      <c r="W73" s="3">
        <f t="shared" si="19"/>
        <v>13242.402544874716</v>
      </c>
      <c r="X73" s="3">
        <f t="shared" si="20"/>
        <v>0</v>
      </c>
      <c r="Y73" s="3">
        <f t="shared" si="21"/>
        <v>0</v>
      </c>
      <c r="Z73" s="3">
        <f t="shared" si="22"/>
        <v>0</v>
      </c>
      <c r="AA73" s="3">
        <f t="shared" si="23"/>
        <v>0</v>
      </c>
      <c r="AB73" s="3">
        <f t="shared" si="24"/>
        <v>0</v>
      </c>
      <c r="AC73" s="3">
        <f t="shared" si="25"/>
        <v>0</v>
      </c>
      <c r="AD73" s="3">
        <f t="shared" si="26"/>
        <v>0</v>
      </c>
      <c r="AE73" s="3">
        <f t="shared" si="27"/>
        <v>0</v>
      </c>
      <c r="AF73" s="3">
        <f t="shared" si="28"/>
        <v>0</v>
      </c>
      <c r="AG73" s="3">
        <f t="shared" si="12"/>
        <v>1</v>
      </c>
      <c r="AH73" s="3">
        <f t="shared" si="29"/>
        <v>0.95</v>
      </c>
      <c r="AI73" s="3">
        <f t="shared" si="30"/>
        <v>0.90249999999999997</v>
      </c>
      <c r="AJ73" s="3">
        <f t="shared" si="31"/>
        <v>0.85737499999999989</v>
      </c>
      <c r="AK73" s="3">
        <f t="shared" si="32"/>
        <v>0.81450624999999988</v>
      </c>
      <c r="AL73" s="3">
        <f t="shared" si="33"/>
        <v>0.77378093749999988</v>
      </c>
      <c r="AM73" s="3">
        <f t="shared" si="34"/>
        <v>0.7350918906249998</v>
      </c>
      <c r="AN73" s="3">
        <f t="shared" si="35"/>
        <v>0.69833729609374973</v>
      </c>
      <c r="AO73" s="3">
        <f t="shared" si="36"/>
        <v>0.66342043128906225</v>
      </c>
    </row>
    <row r="74" spans="1:41">
      <c r="A74">
        <f t="shared" si="40"/>
        <v>30</v>
      </c>
      <c r="B74">
        <f t="shared" si="2"/>
        <v>244587</v>
      </c>
      <c r="C74">
        <f t="shared" si="3"/>
        <v>0</v>
      </c>
      <c r="D74">
        <f t="shared" si="4"/>
        <v>108686</v>
      </c>
      <c r="E74">
        <f t="shared" si="5"/>
        <v>7</v>
      </c>
      <c r="F74">
        <f t="shared" si="14"/>
        <v>15526.571428571429</v>
      </c>
      <c r="G74">
        <f t="shared" si="6"/>
        <v>1</v>
      </c>
      <c r="H74">
        <f t="shared" si="0"/>
        <v>1</v>
      </c>
      <c r="I74">
        <f t="shared" si="1"/>
        <v>0.5</v>
      </c>
      <c r="J74">
        <f t="shared" si="15"/>
        <v>19961.800000000003</v>
      </c>
      <c r="K74">
        <f t="shared" si="16"/>
        <v>116931.8</v>
      </c>
      <c r="L74">
        <f t="shared" si="17"/>
        <v>3453687850.5</v>
      </c>
      <c r="M74">
        <f t="shared" si="7"/>
        <v>108686</v>
      </c>
      <c r="N74">
        <f t="shared" si="8"/>
        <v>96970</v>
      </c>
      <c r="O74" s="3">
        <f t="shared" si="9"/>
        <v>19960.8</v>
      </c>
      <c r="P74" s="3">
        <f t="shared" si="18"/>
        <v>18962.759999999998</v>
      </c>
      <c r="Q74" s="3">
        <f t="shared" si="18"/>
        <v>18014.621999999999</v>
      </c>
      <c r="R74" s="3">
        <f t="shared" si="18"/>
        <v>17113.890899999999</v>
      </c>
      <c r="S74" s="3">
        <f t="shared" si="18"/>
        <v>16258.196354999998</v>
      </c>
      <c r="T74" s="3">
        <f t="shared" si="19"/>
        <v>15445.286537249998</v>
      </c>
      <c r="U74" s="3">
        <f t="shared" si="19"/>
        <v>14673.022210387498</v>
      </c>
      <c r="V74" s="3">
        <f t="shared" si="19"/>
        <v>13939.371099868124</v>
      </c>
      <c r="W74" s="3">
        <f t="shared" si="19"/>
        <v>13242.402544874716</v>
      </c>
      <c r="X74" s="3">
        <f t="shared" si="20"/>
        <v>0</v>
      </c>
      <c r="Y74" s="3">
        <f t="shared" si="21"/>
        <v>0</v>
      </c>
      <c r="Z74" s="3">
        <f t="shared" si="22"/>
        <v>0</v>
      </c>
      <c r="AA74" s="3">
        <f t="shared" si="23"/>
        <v>0</v>
      </c>
      <c r="AB74" s="3">
        <f t="shared" si="24"/>
        <v>0</v>
      </c>
      <c r="AC74" s="3">
        <f t="shared" si="25"/>
        <v>0</v>
      </c>
      <c r="AD74" s="3">
        <f t="shared" si="26"/>
        <v>0</v>
      </c>
      <c r="AE74" s="3">
        <f t="shared" si="27"/>
        <v>0</v>
      </c>
      <c r="AF74" s="3">
        <f t="shared" si="28"/>
        <v>0</v>
      </c>
      <c r="AG74" s="3">
        <f t="shared" si="12"/>
        <v>1</v>
      </c>
      <c r="AH74" s="3">
        <f t="shared" si="29"/>
        <v>0.95</v>
      </c>
      <c r="AI74" s="3">
        <f t="shared" si="30"/>
        <v>0.90249999999999997</v>
      </c>
      <c r="AJ74" s="3">
        <f t="shared" si="31"/>
        <v>0.85737499999999989</v>
      </c>
      <c r="AK74" s="3">
        <f t="shared" si="32"/>
        <v>0.81450624999999988</v>
      </c>
      <c r="AL74" s="3">
        <f t="shared" si="33"/>
        <v>0.77378093749999988</v>
      </c>
      <c r="AM74" s="3">
        <f t="shared" si="34"/>
        <v>0.7350918906249998</v>
      </c>
      <c r="AN74" s="3">
        <f t="shared" si="35"/>
        <v>0.69833729609374973</v>
      </c>
      <c r="AO74" s="3">
        <f t="shared" si="36"/>
        <v>0.66342043128906225</v>
      </c>
    </row>
    <row r="75" spans="1:41">
      <c r="A75">
        <f t="shared" si="40"/>
        <v>31</v>
      </c>
      <c r="B75">
        <f t="shared" si="2"/>
        <v>244587</v>
      </c>
      <c r="C75">
        <f t="shared" si="3"/>
        <v>0</v>
      </c>
      <c r="D75">
        <f t="shared" si="4"/>
        <v>108686</v>
      </c>
      <c r="E75">
        <f t="shared" si="5"/>
        <v>7</v>
      </c>
      <c r="F75">
        <f t="shared" si="14"/>
        <v>15526.571428571429</v>
      </c>
      <c r="G75">
        <f t="shared" si="6"/>
        <v>1</v>
      </c>
      <c r="H75">
        <f t="shared" si="0"/>
        <v>1</v>
      </c>
      <c r="I75">
        <f t="shared" si="1"/>
        <v>0.5</v>
      </c>
      <c r="J75">
        <f t="shared" si="15"/>
        <v>19961.800000000003</v>
      </c>
      <c r="K75">
        <f t="shared" si="16"/>
        <v>116931.8</v>
      </c>
      <c r="L75">
        <f t="shared" si="17"/>
        <v>3453687850.5</v>
      </c>
      <c r="M75">
        <f t="shared" si="7"/>
        <v>108686</v>
      </c>
      <c r="N75">
        <f t="shared" si="8"/>
        <v>96970</v>
      </c>
      <c r="O75" s="3">
        <f t="shared" si="9"/>
        <v>19960.8</v>
      </c>
      <c r="P75" s="3">
        <f t="shared" si="18"/>
        <v>18962.759999999998</v>
      </c>
      <c r="Q75" s="3">
        <f t="shared" si="18"/>
        <v>18014.621999999999</v>
      </c>
      <c r="R75" s="3">
        <f t="shared" si="18"/>
        <v>17113.890899999999</v>
      </c>
      <c r="S75" s="3">
        <f t="shared" si="18"/>
        <v>16258.196354999998</v>
      </c>
      <c r="T75" s="3">
        <f t="shared" si="19"/>
        <v>15445.286537249998</v>
      </c>
      <c r="U75" s="3">
        <f t="shared" si="19"/>
        <v>14673.022210387498</v>
      </c>
      <c r="V75" s="3">
        <f t="shared" si="19"/>
        <v>13939.371099868124</v>
      </c>
      <c r="W75" s="3">
        <f t="shared" si="19"/>
        <v>13242.402544874716</v>
      </c>
      <c r="X75" s="3">
        <f t="shared" si="20"/>
        <v>0</v>
      </c>
      <c r="Y75" s="3">
        <f t="shared" si="21"/>
        <v>0</v>
      </c>
      <c r="Z75" s="3">
        <f t="shared" si="22"/>
        <v>0</v>
      </c>
      <c r="AA75" s="3">
        <f t="shared" si="23"/>
        <v>0</v>
      </c>
      <c r="AB75" s="3">
        <f t="shared" si="24"/>
        <v>0</v>
      </c>
      <c r="AC75" s="3">
        <f t="shared" si="25"/>
        <v>0</v>
      </c>
      <c r="AD75" s="3">
        <f t="shared" si="26"/>
        <v>0</v>
      </c>
      <c r="AE75" s="3">
        <f t="shared" si="27"/>
        <v>0</v>
      </c>
      <c r="AF75" s="3">
        <f t="shared" si="28"/>
        <v>0</v>
      </c>
      <c r="AG75" s="3">
        <f t="shared" si="12"/>
        <v>1</v>
      </c>
      <c r="AH75" s="3">
        <f t="shared" si="29"/>
        <v>0.95</v>
      </c>
      <c r="AI75" s="3">
        <f t="shared" si="30"/>
        <v>0.90249999999999997</v>
      </c>
      <c r="AJ75" s="3">
        <f t="shared" si="31"/>
        <v>0.85737499999999989</v>
      </c>
      <c r="AK75" s="3">
        <f t="shared" si="32"/>
        <v>0.81450624999999988</v>
      </c>
      <c r="AL75" s="3">
        <f t="shared" si="33"/>
        <v>0.77378093749999988</v>
      </c>
      <c r="AM75" s="3">
        <f t="shared" si="34"/>
        <v>0.7350918906249998</v>
      </c>
      <c r="AN75" s="3">
        <f t="shared" si="35"/>
        <v>0.69833729609374973</v>
      </c>
      <c r="AO75" s="3">
        <f t="shared" si="36"/>
        <v>0.66342043128906225</v>
      </c>
    </row>
    <row r="76" spans="1:41">
      <c r="A76">
        <f t="shared" ref="A76:A80" si="41">A75+1</f>
        <v>32</v>
      </c>
      <c r="B76">
        <f t="shared" si="2"/>
        <v>244587</v>
      </c>
      <c r="C76">
        <f t="shared" si="3"/>
        <v>0</v>
      </c>
      <c r="D76">
        <f t="shared" si="4"/>
        <v>108686</v>
      </c>
      <c r="E76">
        <f t="shared" si="5"/>
        <v>7</v>
      </c>
      <c r="F76">
        <f t="shared" si="14"/>
        <v>15526.571428571429</v>
      </c>
      <c r="G76">
        <f t="shared" si="6"/>
        <v>1</v>
      </c>
      <c r="H76">
        <f t="shared" si="0"/>
        <v>1</v>
      </c>
      <c r="I76">
        <f t="shared" si="1"/>
        <v>0.5</v>
      </c>
      <c r="J76">
        <f t="shared" ref="J76:J80" si="42">SUM(O75:AO75)-SUM(P76:W76)-SUM(Y76:AF76)-SUM(AH76:AO76)</f>
        <v>19961.800000000003</v>
      </c>
      <c r="K76">
        <f t="shared" ref="K76:K80" si="43">IF(J76&gt;0,J76,0)+N76</f>
        <v>116931.8</v>
      </c>
      <c r="L76">
        <f t="shared" si="17"/>
        <v>3453687850.5</v>
      </c>
      <c r="M76">
        <f t="shared" si="7"/>
        <v>108686</v>
      </c>
      <c r="N76">
        <f t="shared" si="8"/>
        <v>96970</v>
      </c>
      <c r="O76" s="3">
        <f t="shared" si="9"/>
        <v>19960.8</v>
      </c>
      <c r="P76" s="3">
        <f t="shared" si="18"/>
        <v>18962.759999999998</v>
      </c>
      <c r="Q76" s="3">
        <f t="shared" si="18"/>
        <v>18014.621999999999</v>
      </c>
      <c r="R76" s="3">
        <f t="shared" si="18"/>
        <v>17113.890899999999</v>
      </c>
      <c r="S76" s="3">
        <f t="shared" si="18"/>
        <v>16258.196354999998</v>
      </c>
      <c r="T76" s="3">
        <f t="shared" si="19"/>
        <v>15445.286537249998</v>
      </c>
      <c r="U76" s="3">
        <f t="shared" si="19"/>
        <v>14673.022210387498</v>
      </c>
      <c r="V76" s="3">
        <f t="shared" si="19"/>
        <v>13939.371099868124</v>
      </c>
      <c r="W76" s="3">
        <f t="shared" si="19"/>
        <v>13242.402544874716</v>
      </c>
      <c r="X76" s="3">
        <f t="shared" si="20"/>
        <v>0</v>
      </c>
      <c r="Y76" s="3">
        <f t="shared" si="21"/>
        <v>0</v>
      </c>
      <c r="Z76" s="3">
        <f t="shared" si="22"/>
        <v>0</v>
      </c>
      <c r="AA76" s="3">
        <f t="shared" si="23"/>
        <v>0</v>
      </c>
      <c r="AB76" s="3">
        <f t="shared" si="24"/>
        <v>0</v>
      </c>
      <c r="AC76" s="3">
        <f t="shared" si="25"/>
        <v>0</v>
      </c>
      <c r="AD76" s="3">
        <f t="shared" si="26"/>
        <v>0</v>
      </c>
      <c r="AE76" s="3">
        <f t="shared" si="27"/>
        <v>0</v>
      </c>
      <c r="AF76" s="3">
        <f t="shared" si="28"/>
        <v>0</v>
      </c>
      <c r="AG76" s="3">
        <f t="shared" si="12"/>
        <v>1</v>
      </c>
      <c r="AH76" s="3">
        <f t="shared" si="29"/>
        <v>0.95</v>
      </c>
      <c r="AI76" s="3">
        <f t="shared" si="30"/>
        <v>0.90249999999999997</v>
      </c>
      <c r="AJ76" s="3">
        <f t="shared" si="31"/>
        <v>0.85737499999999989</v>
      </c>
      <c r="AK76" s="3">
        <f t="shared" si="32"/>
        <v>0.81450624999999988</v>
      </c>
      <c r="AL76" s="3">
        <f t="shared" si="33"/>
        <v>0.77378093749999988</v>
      </c>
      <c r="AM76" s="3">
        <f t="shared" si="34"/>
        <v>0.7350918906249998</v>
      </c>
      <c r="AN76" s="3">
        <f t="shared" si="35"/>
        <v>0.69833729609374973</v>
      </c>
      <c r="AO76" s="3">
        <f t="shared" si="36"/>
        <v>0.66342043128906225</v>
      </c>
    </row>
    <row r="77" spans="1:41">
      <c r="A77">
        <f t="shared" si="41"/>
        <v>33</v>
      </c>
      <c r="B77">
        <f t="shared" si="2"/>
        <v>244587</v>
      </c>
      <c r="C77">
        <f t="shared" si="3"/>
        <v>0</v>
      </c>
      <c r="D77">
        <f t="shared" si="4"/>
        <v>108686</v>
      </c>
      <c r="E77">
        <f t="shared" si="5"/>
        <v>7</v>
      </c>
      <c r="F77">
        <f t="shared" si="14"/>
        <v>15526.571428571429</v>
      </c>
      <c r="G77">
        <f t="shared" si="6"/>
        <v>1</v>
      </c>
      <c r="H77">
        <f t="shared" si="0"/>
        <v>1</v>
      </c>
      <c r="I77">
        <f t="shared" si="1"/>
        <v>0.5</v>
      </c>
      <c r="J77">
        <f t="shared" si="42"/>
        <v>19961.800000000003</v>
      </c>
      <c r="K77">
        <f t="shared" si="43"/>
        <v>116931.8</v>
      </c>
      <c r="L77">
        <f t="shared" si="17"/>
        <v>3453687850.5</v>
      </c>
      <c r="M77">
        <f t="shared" si="7"/>
        <v>108686</v>
      </c>
      <c r="N77">
        <f t="shared" si="8"/>
        <v>96970</v>
      </c>
      <c r="O77" s="3">
        <f t="shared" si="9"/>
        <v>19960.8</v>
      </c>
      <c r="P77" s="3">
        <f t="shared" si="18"/>
        <v>18962.759999999998</v>
      </c>
      <c r="Q77" s="3">
        <f t="shared" si="18"/>
        <v>18014.621999999999</v>
      </c>
      <c r="R77" s="3">
        <f t="shared" si="18"/>
        <v>17113.890899999999</v>
      </c>
      <c r="S77" s="3">
        <f t="shared" si="18"/>
        <v>16258.196354999998</v>
      </c>
      <c r="T77" s="3">
        <f t="shared" si="19"/>
        <v>15445.286537249998</v>
      </c>
      <c r="U77" s="3">
        <f t="shared" si="19"/>
        <v>14673.022210387498</v>
      </c>
      <c r="V77" s="3">
        <f t="shared" si="19"/>
        <v>13939.371099868124</v>
      </c>
      <c r="W77" s="3">
        <f t="shared" si="19"/>
        <v>13242.402544874716</v>
      </c>
      <c r="X77" s="3">
        <f t="shared" si="20"/>
        <v>0</v>
      </c>
      <c r="Y77" s="3">
        <f t="shared" si="21"/>
        <v>0</v>
      </c>
      <c r="Z77" s="3">
        <f t="shared" si="22"/>
        <v>0</v>
      </c>
      <c r="AA77" s="3">
        <f t="shared" si="23"/>
        <v>0</v>
      </c>
      <c r="AB77" s="3">
        <f t="shared" si="24"/>
        <v>0</v>
      </c>
      <c r="AC77" s="3">
        <f t="shared" si="25"/>
        <v>0</v>
      </c>
      <c r="AD77" s="3">
        <f t="shared" si="26"/>
        <v>0</v>
      </c>
      <c r="AE77" s="3">
        <f t="shared" si="27"/>
        <v>0</v>
      </c>
      <c r="AF77" s="3">
        <f t="shared" si="28"/>
        <v>0</v>
      </c>
      <c r="AG77" s="3">
        <f t="shared" si="12"/>
        <v>1</v>
      </c>
      <c r="AH77" s="3">
        <f t="shared" si="29"/>
        <v>0.95</v>
      </c>
      <c r="AI77" s="3">
        <f t="shared" si="30"/>
        <v>0.90249999999999997</v>
      </c>
      <c r="AJ77" s="3">
        <f t="shared" si="31"/>
        <v>0.85737499999999989</v>
      </c>
      <c r="AK77" s="3">
        <f t="shared" si="32"/>
        <v>0.81450624999999988</v>
      </c>
      <c r="AL77" s="3">
        <f t="shared" si="33"/>
        <v>0.77378093749999988</v>
      </c>
      <c r="AM77" s="3">
        <f t="shared" si="34"/>
        <v>0.7350918906249998</v>
      </c>
      <c r="AN77" s="3">
        <f t="shared" si="35"/>
        <v>0.69833729609374973</v>
      </c>
      <c r="AO77" s="3">
        <f t="shared" si="36"/>
        <v>0.66342043128906225</v>
      </c>
    </row>
    <row r="78" spans="1:41">
      <c r="A78">
        <f t="shared" si="41"/>
        <v>34</v>
      </c>
      <c r="B78">
        <f t="shared" si="2"/>
        <v>244587</v>
      </c>
      <c r="C78">
        <f t="shared" si="3"/>
        <v>0</v>
      </c>
      <c r="D78">
        <f t="shared" si="4"/>
        <v>108686</v>
      </c>
      <c r="E78">
        <f t="shared" si="5"/>
        <v>7</v>
      </c>
      <c r="F78">
        <f t="shared" si="14"/>
        <v>15526.571428571429</v>
      </c>
      <c r="G78">
        <f t="shared" si="6"/>
        <v>1</v>
      </c>
      <c r="H78">
        <f t="shared" si="0"/>
        <v>1</v>
      </c>
      <c r="I78">
        <f t="shared" si="1"/>
        <v>0.5</v>
      </c>
      <c r="J78">
        <f t="shared" si="42"/>
        <v>19961.800000000003</v>
      </c>
      <c r="K78">
        <f t="shared" si="43"/>
        <v>116931.8</v>
      </c>
      <c r="L78">
        <f t="shared" si="17"/>
        <v>3453687850.5</v>
      </c>
      <c r="M78">
        <f t="shared" si="7"/>
        <v>108686</v>
      </c>
      <c r="N78">
        <f t="shared" si="8"/>
        <v>96970</v>
      </c>
      <c r="O78" s="3">
        <f t="shared" si="9"/>
        <v>19960.8</v>
      </c>
      <c r="P78" s="3">
        <f t="shared" si="18"/>
        <v>18962.759999999998</v>
      </c>
      <c r="Q78" s="3">
        <f t="shared" si="18"/>
        <v>18014.621999999999</v>
      </c>
      <c r="R78" s="3">
        <f t="shared" si="18"/>
        <v>17113.890899999999</v>
      </c>
      <c r="S78" s="3">
        <f t="shared" si="18"/>
        <v>16258.196354999998</v>
      </c>
      <c r="T78" s="3">
        <f t="shared" si="19"/>
        <v>15445.286537249998</v>
      </c>
      <c r="U78" s="3">
        <f t="shared" si="19"/>
        <v>14673.022210387498</v>
      </c>
      <c r="V78" s="3">
        <f t="shared" si="19"/>
        <v>13939.371099868124</v>
      </c>
      <c r="W78" s="3">
        <f t="shared" si="19"/>
        <v>13242.402544874716</v>
      </c>
      <c r="X78" s="3">
        <f t="shared" si="20"/>
        <v>0</v>
      </c>
      <c r="Y78" s="3">
        <f t="shared" si="21"/>
        <v>0</v>
      </c>
      <c r="Z78" s="3">
        <f t="shared" si="22"/>
        <v>0</v>
      </c>
      <c r="AA78" s="3">
        <f t="shared" si="23"/>
        <v>0</v>
      </c>
      <c r="AB78" s="3">
        <f t="shared" si="24"/>
        <v>0</v>
      </c>
      <c r="AC78" s="3">
        <f t="shared" si="25"/>
        <v>0</v>
      </c>
      <c r="AD78" s="3">
        <f t="shared" si="26"/>
        <v>0</v>
      </c>
      <c r="AE78" s="3">
        <f t="shared" si="27"/>
        <v>0</v>
      </c>
      <c r="AF78" s="3">
        <f t="shared" si="28"/>
        <v>0</v>
      </c>
      <c r="AG78" s="3">
        <f t="shared" si="12"/>
        <v>1</v>
      </c>
      <c r="AH78" s="3">
        <f t="shared" si="29"/>
        <v>0.95</v>
      </c>
      <c r="AI78" s="3">
        <f t="shared" si="30"/>
        <v>0.90249999999999997</v>
      </c>
      <c r="AJ78" s="3">
        <f t="shared" si="31"/>
        <v>0.85737499999999989</v>
      </c>
      <c r="AK78" s="3">
        <f t="shared" si="32"/>
        <v>0.81450624999999988</v>
      </c>
      <c r="AL78" s="3">
        <f t="shared" si="33"/>
        <v>0.77378093749999988</v>
      </c>
      <c r="AM78" s="3">
        <f t="shared" si="34"/>
        <v>0.7350918906249998</v>
      </c>
      <c r="AN78" s="3">
        <f t="shared" si="35"/>
        <v>0.69833729609374973</v>
      </c>
      <c r="AO78" s="3">
        <f t="shared" si="36"/>
        <v>0.66342043128906225</v>
      </c>
    </row>
    <row r="79" spans="1:41">
      <c r="A79">
        <f t="shared" si="41"/>
        <v>35</v>
      </c>
      <c r="B79">
        <f t="shared" si="2"/>
        <v>244587</v>
      </c>
      <c r="C79">
        <f t="shared" si="3"/>
        <v>0</v>
      </c>
      <c r="D79">
        <f t="shared" si="4"/>
        <v>108686</v>
      </c>
      <c r="E79">
        <f t="shared" si="5"/>
        <v>7</v>
      </c>
      <c r="F79">
        <f t="shared" si="14"/>
        <v>15526.571428571429</v>
      </c>
      <c r="G79">
        <f t="shared" si="6"/>
        <v>1</v>
      </c>
      <c r="H79">
        <f t="shared" si="0"/>
        <v>1</v>
      </c>
      <c r="I79">
        <f t="shared" si="1"/>
        <v>0.5</v>
      </c>
      <c r="J79">
        <f t="shared" si="42"/>
        <v>19961.800000000003</v>
      </c>
      <c r="K79">
        <f t="shared" si="43"/>
        <v>116931.8</v>
      </c>
      <c r="L79">
        <f t="shared" si="17"/>
        <v>3453687850.5</v>
      </c>
      <c r="M79">
        <f t="shared" si="7"/>
        <v>108686</v>
      </c>
      <c r="N79">
        <f t="shared" si="8"/>
        <v>96970</v>
      </c>
      <c r="O79" s="3">
        <f t="shared" si="9"/>
        <v>19960.8</v>
      </c>
      <c r="P79" s="3">
        <f t="shared" si="18"/>
        <v>18962.759999999998</v>
      </c>
      <c r="Q79" s="3">
        <f t="shared" si="18"/>
        <v>18014.621999999999</v>
      </c>
      <c r="R79" s="3">
        <f t="shared" si="18"/>
        <v>17113.890899999999</v>
      </c>
      <c r="S79" s="3">
        <f t="shared" si="18"/>
        <v>16258.196354999998</v>
      </c>
      <c r="T79" s="3">
        <f t="shared" si="19"/>
        <v>15445.286537249998</v>
      </c>
      <c r="U79" s="3">
        <f t="shared" si="19"/>
        <v>14673.022210387498</v>
      </c>
      <c r="V79" s="3">
        <f t="shared" si="19"/>
        <v>13939.371099868124</v>
      </c>
      <c r="W79" s="3">
        <f t="shared" si="19"/>
        <v>13242.402544874716</v>
      </c>
      <c r="X79" s="3">
        <f t="shared" si="20"/>
        <v>0</v>
      </c>
      <c r="Y79" s="3">
        <f t="shared" si="21"/>
        <v>0</v>
      </c>
      <c r="Z79" s="3">
        <f t="shared" si="22"/>
        <v>0</v>
      </c>
      <c r="AA79" s="3">
        <f t="shared" si="23"/>
        <v>0</v>
      </c>
      <c r="AB79" s="3">
        <f t="shared" si="24"/>
        <v>0</v>
      </c>
      <c r="AC79" s="3">
        <f t="shared" si="25"/>
        <v>0</v>
      </c>
      <c r="AD79" s="3">
        <f t="shared" si="26"/>
        <v>0</v>
      </c>
      <c r="AE79" s="3">
        <f t="shared" si="27"/>
        <v>0</v>
      </c>
      <c r="AF79" s="3">
        <f t="shared" si="28"/>
        <v>0</v>
      </c>
      <c r="AG79" s="3">
        <f t="shared" si="12"/>
        <v>1</v>
      </c>
      <c r="AH79" s="3">
        <f t="shared" si="29"/>
        <v>0.95</v>
      </c>
      <c r="AI79" s="3">
        <f t="shared" si="30"/>
        <v>0.90249999999999997</v>
      </c>
      <c r="AJ79" s="3">
        <f t="shared" si="31"/>
        <v>0.85737499999999989</v>
      </c>
      <c r="AK79" s="3">
        <f t="shared" si="32"/>
        <v>0.81450624999999988</v>
      </c>
      <c r="AL79" s="3">
        <f t="shared" si="33"/>
        <v>0.77378093749999988</v>
      </c>
      <c r="AM79" s="3">
        <f t="shared" si="34"/>
        <v>0.7350918906249998</v>
      </c>
      <c r="AN79" s="3">
        <f t="shared" si="35"/>
        <v>0.69833729609374973</v>
      </c>
      <c r="AO79" s="3">
        <f t="shared" si="36"/>
        <v>0.66342043128906225</v>
      </c>
    </row>
    <row r="80" spans="1:41">
      <c r="A80">
        <f t="shared" si="41"/>
        <v>36</v>
      </c>
      <c r="B80">
        <f t="shared" si="2"/>
        <v>244587</v>
      </c>
      <c r="C80">
        <f t="shared" si="3"/>
        <v>0</v>
      </c>
      <c r="D80">
        <f t="shared" si="4"/>
        <v>108686</v>
      </c>
      <c r="E80">
        <f t="shared" si="5"/>
        <v>7</v>
      </c>
      <c r="F80">
        <f t="shared" si="14"/>
        <v>15526.571428571429</v>
      </c>
      <c r="G80">
        <f t="shared" si="6"/>
        <v>1</v>
      </c>
      <c r="H80">
        <f t="shared" si="0"/>
        <v>1</v>
      </c>
      <c r="I80">
        <f t="shared" si="1"/>
        <v>0.5</v>
      </c>
      <c r="J80">
        <f t="shared" si="42"/>
        <v>19961.800000000003</v>
      </c>
      <c r="K80">
        <f t="shared" si="43"/>
        <v>116931.8</v>
      </c>
      <c r="L80">
        <f t="shared" si="17"/>
        <v>3453687850.5</v>
      </c>
      <c r="M80">
        <f t="shared" si="7"/>
        <v>108686</v>
      </c>
      <c r="N80">
        <f t="shared" si="8"/>
        <v>96970</v>
      </c>
      <c r="O80" s="3">
        <f t="shared" si="9"/>
        <v>19960.8</v>
      </c>
      <c r="P80" s="3">
        <f t="shared" si="18"/>
        <v>18962.759999999998</v>
      </c>
      <c r="Q80" s="3">
        <f t="shared" si="18"/>
        <v>18014.621999999999</v>
      </c>
      <c r="R80" s="3">
        <f t="shared" si="18"/>
        <v>17113.890899999999</v>
      </c>
      <c r="S80" s="3">
        <f t="shared" si="18"/>
        <v>16258.196354999998</v>
      </c>
      <c r="T80" s="3">
        <f t="shared" si="19"/>
        <v>15445.286537249998</v>
      </c>
      <c r="U80" s="3">
        <f t="shared" si="19"/>
        <v>14673.022210387498</v>
      </c>
      <c r="V80" s="3">
        <f t="shared" si="19"/>
        <v>13939.371099868124</v>
      </c>
      <c r="W80" s="3">
        <f t="shared" si="19"/>
        <v>13242.402544874716</v>
      </c>
      <c r="X80" s="3">
        <f t="shared" si="20"/>
        <v>0</v>
      </c>
      <c r="Y80" s="3">
        <f t="shared" si="21"/>
        <v>0</v>
      </c>
      <c r="Z80" s="3">
        <f t="shared" si="22"/>
        <v>0</v>
      </c>
      <c r="AA80" s="3">
        <f t="shared" si="23"/>
        <v>0</v>
      </c>
      <c r="AB80" s="3">
        <f t="shared" si="24"/>
        <v>0</v>
      </c>
      <c r="AC80" s="3">
        <f t="shared" si="25"/>
        <v>0</v>
      </c>
      <c r="AD80" s="3">
        <f t="shared" si="26"/>
        <v>0</v>
      </c>
      <c r="AE80" s="3">
        <f t="shared" si="27"/>
        <v>0</v>
      </c>
      <c r="AF80" s="3">
        <f t="shared" si="28"/>
        <v>0</v>
      </c>
      <c r="AG80" s="3">
        <f t="shared" si="12"/>
        <v>1</v>
      </c>
      <c r="AH80" s="3">
        <f t="shared" si="29"/>
        <v>0.95</v>
      </c>
      <c r="AI80" s="3">
        <f t="shared" si="30"/>
        <v>0.90249999999999997</v>
      </c>
      <c r="AJ80" s="3">
        <f t="shared" si="31"/>
        <v>0.85737499999999989</v>
      </c>
      <c r="AK80" s="3">
        <f t="shared" si="32"/>
        <v>0.81450624999999988</v>
      </c>
      <c r="AL80" s="3">
        <f t="shared" si="33"/>
        <v>0.77378093749999988</v>
      </c>
      <c r="AM80" s="3">
        <f t="shared" si="34"/>
        <v>0.7350918906249998</v>
      </c>
      <c r="AN80" s="3">
        <f t="shared" si="35"/>
        <v>0.69833729609374973</v>
      </c>
      <c r="AO80" s="3">
        <f t="shared" si="36"/>
        <v>0.66342043128906225</v>
      </c>
    </row>
    <row r="81" spans="6:6">
      <c r="F81">
        <f t="shared" si="14"/>
        <v>0</v>
      </c>
    </row>
  </sheetData>
  <pageMargins left="0.7" right="0.7" top="0.75" bottom="0.75" header="0.3" footer="0.3"/>
  <pageSetup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AAF59-74DD-8741-972D-AB9022076D4B}">
  <dimension ref="A1:F60"/>
  <sheetViews>
    <sheetView workbookViewId="0"/>
  </sheetViews>
  <sheetFormatPr baseColWidth="10" defaultRowHeight="16"/>
  <cols>
    <col min="1" max="1" width="29" bestFit="1" customWidth="1"/>
  </cols>
  <sheetData>
    <row r="1" spans="1:4">
      <c r="A1" t="s">
        <v>83</v>
      </c>
      <c r="B1">
        <f>Vehicle!B1</f>
        <v>1000000</v>
      </c>
    </row>
    <row r="3" spans="1:4">
      <c r="A3" t="s">
        <v>187</v>
      </c>
    </row>
    <row r="5" spans="1:4">
      <c r="A5" t="s">
        <v>188</v>
      </c>
      <c r="B5">
        <f>Agriculture!D11</f>
        <v>5.2447664141414165</v>
      </c>
    </row>
    <row r="6" spans="1:4">
      <c r="A6" t="s">
        <v>192</v>
      </c>
      <c r="B6">
        <f>B5*B1+SUM(B26:D26)+B43+B59</f>
        <v>319869764.92343736</v>
      </c>
    </row>
    <row r="7" spans="1:4">
      <c r="A7" t="s">
        <v>189</v>
      </c>
      <c r="B7">
        <v>1</v>
      </c>
    </row>
    <row r="8" spans="1:4">
      <c r="A8" t="s">
        <v>190</v>
      </c>
      <c r="B8">
        <f>B6/B7</f>
        <v>319869764.92343736</v>
      </c>
    </row>
    <row r="9" spans="1:4">
      <c r="A9" t="s">
        <v>191</v>
      </c>
      <c r="B9">
        <v>2</v>
      </c>
    </row>
    <row r="10" spans="1:4">
      <c r="A10" t="s">
        <v>372</v>
      </c>
      <c r="B10">
        <f>B8*B9</f>
        <v>639739529.84687471</v>
      </c>
    </row>
    <row r="12" spans="1:4">
      <c r="A12" t="s">
        <v>210</v>
      </c>
      <c r="B12" t="s">
        <v>216</v>
      </c>
      <c r="C12" t="s">
        <v>217</v>
      </c>
      <c r="D12" t="s">
        <v>218</v>
      </c>
    </row>
    <row r="13" spans="1:4">
      <c r="A13" t="s">
        <v>249</v>
      </c>
      <c r="B13">
        <f>Agriculture!D13*B1</f>
        <v>13636363.636363635</v>
      </c>
    </row>
    <row r="14" spans="1:4">
      <c r="A14" t="s">
        <v>222</v>
      </c>
      <c r="B14">
        <v>0.1</v>
      </c>
    </row>
    <row r="15" spans="1:4">
      <c r="A15" t="s">
        <v>211</v>
      </c>
      <c r="B15">
        <f>B16/B1</f>
        <v>3.4090909090909087</v>
      </c>
      <c r="C15">
        <f>C16/B1</f>
        <v>10.227272727272727</v>
      </c>
      <c r="D15">
        <f>D16/B1</f>
        <v>0.68181818181818177</v>
      </c>
    </row>
    <row r="16" spans="1:4">
      <c r="A16" t="s">
        <v>212</v>
      </c>
      <c r="B16">
        <f>B13*0.25</f>
        <v>3409090.9090909087</v>
      </c>
      <c r="C16">
        <f>B13*0.75</f>
        <v>10227272.727272727</v>
      </c>
      <c r="D16">
        <f>B13*0.05</f>
        <v>681818.18181818177</v>
      </c>
    </row>
    <row r="17" spans="1:6">
      <c r="A17" t="s">
        <v>213</v>
      </c>
      <c r="B17">
        <v>0.66</v>
      </c>
      <c r="C17">
        <v>0.66</v>
      </c>
      <c r="D17">
        <v>0.66</v>
      </c>
    </row>
    <row r="18" spans="1:6">
      <c r="A18" t="s">
        <v>214</v>
      </c>
      <c r="B18">
        <f>B16/B17</f>
        <v>5165289.2561983466</v>
      </c>
      <c r="C18">
        <f>C16/C17</f>
        <v>15495867.76859504</v>
      </c>
      <c r="D18">
        <f>D16/D17</f>
        <v>1033057.8512396693</v>
      </c>
    </row>
    <row r="19" spans="1:6">
      <c r="A19" t="s">
        <v>264</v>
      </c>
      <c r="B19">
        <f>B18/2</f>
        <v>2582644.6280991733</v>
      </c>
      <c r="C19">
        <f>C18/6</f>
        <v>2582644.6280991733</v>
      </c>
      <c r="D19">
        <f>D18/4</f>
        <v>258264.46280991731</v>
      </c>
    </row>
    <row r="20" spans="1:6">
      <c r="A20" t="s">
        <v>375</v>
      </c>
      <c r="B20">
        <f>SUM(B19:D19)</f>
        <v>5423553.7190082641</v>
      </c>
    </row>
    <row r="21" spans="1:6">
      <c r="A21" t="s">
        <v>265</v>
      </c>
      <c r="B21">
        <v>0.27100000000000002</v>
      </c>
      <c r="C21" t="s">
        <v>13</v>
      </c>
    </row>
    <row r="22" spans="1:6">
      <c r="A22" t="s">
        <v>263</v>
      </c>
      <c r="B22">
        <f>SUM(B19:D19)*B21*11</f>
        <v>16167613.636363635</v>
      </c>
    </row>
    <row r="23" spans="1:6">
      <c r="A23" t="s">
        <v>220</v>
      </c>
      <c r="B23">
        <f>B24*0.25</f>
        <v>0.55555555555555558</v>
      </c>
      <c r="C23">
        <f t="shared" ref="C23:D23" si="0">C24*0.25</f>
        <v>1.4583333333333333</v>
      </c>
      <c r="D23">
        <f t="shared" si="0"/>
        <v>1.4583333333333333</v>
      </c>
      <c r="F23" t="s">
        <v>215</v>
      </c>
    </row>
    <row r="24" spans="1:6">
      <c r="A24" t="s">
        <v>191</v>
      </c>
      <c r="B24">
        <f>(1+1.5+1.5)/1.8</f>
        <v>2.2222222222222223</v>
      </c>
      <c r="C24">
        <f>(1+5+4.5)/1.8</f>
        <v>5.833333333333333</v>
      </c>
      <c r="D24">
        <f>(1+5+4.5)/1.8</f>
        <v>5.833333333333333</v>
      </c>
    </row>
    <row r="25" spans="1:6">
      <c r="A25" t="s">
        <v>219</v>
      </c>
      <c r="B25">
        <f>B18*B24</f>
        <v>11478420.56932966</v>
      </c>
      <c r="C25">
        <f>C18*C24</f>
        <v>90392561.983471066</v>
      </c>
      <c r="D25">
        <f>D18*D24</f>
        <v>6026170.7988980701</v>
      </c>
    </row>
    <row r="26" spans="1:6">
      <c r="A26" t="s">
        <v>221</v>
      </c>
      <c r="B26">
        <f>B25*$B$14</f>
        <v>1147842.056932966</v>
      </c>
      <c r="C26">
        <f t="shared" ref="C26:D26" si="1">C25*$B$14</f>
        <v>9039256.1983471066</v>
      </c>
      <c r="D26">
        <f t="shared" si="1"/>
        <v>602617.07988980704</v>
      </c>
    </row>
    <row r="27" spans="1:6">
      <c r="A27" t="s">
        <v>372</v>
      </c>
      <c r="B27">
        <f>SUM(B25:D25)-SUM(B26:D26)</f>
        <v>97107438.016528919</v>
      </c>
    </row>
    <row r="29" spans="1:6">
      <c r="A29" t="s">
        <v>241</v>
      </c>
      <c r="B29" t="s">
        <v>248</v>
      </c>
    </row>
    <row r="31" spans="1:6">
      <c r="A31" t="s">
        <v>249</v>
      </c>
      <c r="B31">
        <f>Agriculture!D14*B1</f>
        <v>4545454.5454545449</v>
      </c>
    </row>
    <row r="32" spans="1:6">
      <c r="A32" t="s">
        <v>213</v>
      </c>
      <c r="B32">
        <v>0.75</v>
      </c>
    </row>
    <row r="33" spans="1:4">
      <c r="A33" t="s">
        <v>214</v>
      </c>
      <c r="B33">
        <f>B31/B32</f>
        <v>6060606.0606060596</v>
      </c>
    </row>
    <row r="34" spans="1:4">
      <c r="A34" t="s">
        <v>250</v>
      </c>
      <c r="B34">
        <v>105</v>
      </c>
    </row>
    <row r="35" spans="1:4">
      <c r="A35" t="s">
        <v>251</v>
      </c>
      <c r="B35">
        <f>B33/B34</f>
        <v>57720.05772005771</v>
      </c>
    </row>
    <row r="36" spans="1:4">
      <c r="A36" t="s">
        <v>262</v>
      </c>
      <c r="B36">
        <v>4</v>
      </c>
    </row>
    <row r="37" spans="1:4">
      <c r="A37" t="s">
        <v>263</v>
      </c>
      <c r="B37">
        <f>B35*B36*11</f>
        <v>2539682.5396825392</v>
      </c>
    </row>
    <row r="38" spans="1:4">
      <c r="A38" t="s">
        <v>220</v>
      </c>
      <c r="B38">
        <f>B39*0.25</f>
        <v>0.81168831168831157</v>
      </c>
    </row>
    <row r="39" spans="1:4">
      <c r="A39" t="s">
        <v>191</v>
      </c>
      <c r="B39">
        <f>B41/B33</f>
        <v>3.2467532467532463</v>
      </c>
    </row>
    <row r="40" spans="1:4">
      <c r="A40" t="s">
        <v>252</v>
      </c>
      <c r="B40">
        <f>750/2.2</f>
        <v>340.90909090909088</v>
      </c>
      <c r="C40" t="s">
        <v>254</v>
      </c>
      <c r="D40" t="s">
        <v>253</v>
      </c>
    </row>
    <row r="41" spans="1:4">
      <c r="A41" t="s">
        <v>219</v>
      </c>
      <c r="B41">
        <f>B40*B35</f>
        <v>19677292.404565126</v>
      </c>
    </row>
    <row r="42" spans="1:4">
      <c r="A42" t="s">
        <v>260</v>
      </c>
      <c r="C42">
        <v>0</v>
      </c>
    </row>
    <row r="43" spans="1:4">
      <c r="A43" t="s">
        <v>221</v>
      </c>
      <c r="B43">
        <f>(B41-C42)*B14</f>
        <v>1967729.2404565127</v>
      </c>
    </row>
    <row r="44" spans="1:4">
      <c r="A44" t="s">
        <v>372</v>
      </c>
      <c r="B44">
        <f>B41-C42</f>
        <v>19677292.404565126</v>
      </c>
    </row>
    <row r="46" spans="1:4">
      <c r="A46" t="s">
        <v>500</v>
      </c>
    </row>
    <row r="48" spans="1:4">
      <c r="A48" t="s">
        <v>249</v>
      </c>
      <c r="B48">
        <f>Agriculture!D15*B18</f>
        <v>92975206.611570239</v>
      </c>
      <c r="D48" t="s">
        <v>501</v>
      </c>
    </row>
    <row r="49" spans="1:3">
      <c r="A49" t="s">
        <v>213</v>
      </c>
      <c r="B49">
        <v>0.75</v>
      </c>
    </row>
    <row r="50" spans="1:3">
      <c r="A50" t="s">
        <v>214</v>
      </c>
      <c r="B50">
        <f>B48/B49</f>
        <v>123966942.14876032</v>
      </c>
    </row>
    <row r="51" spans="1:3">
      <c r="A51" t="s">
        <v>250</v>
      </c>
      <c r="B51">
        <v>105</v>
      </c>
    </row>
    <row r="52" spans="1:3">
      <c r="A52" t="s">
        <v>251</v>
      </c>
      <c r="B52">
        <f>B50/B51</f>
        <v>1180637.5442739078</v>
      </c>
    </row>
    <row r="53" spans="1:3">
      <c r="A53" t="s">
        <v>262</v>
      </c>
      <c r="B53">
        <v>4</v>
      </c>
    </row>
    <row r="54" spans="1:3">
      <c r="A54" t="s">
        <v>263</v>
      </c>
      <c r="B54">
        <f>B52*B53*11</f>
        <v>51948051.948051944</v>
      </c>
    </row>
    <row r="55" spans="1:3">
      <c r="A55" t="s">
        <v>220</v>
      </c>
      <c r="B55">
        <f>B56*0.25</f>
        <v>0.81168831168831168</v>
      </c>
    </row>
    <row r="56" spans="1:3">
      <c r="A56" t="s">
        <v>191</v>
      </c>
      <c r="B56">
        <f>B58/B50</f>
        <v>3.2467532467532467</v>
      </c>
    </row>
    <row r="57" spans="1:3">
      <c r="A57" t="s">
        <v>252</v>
      </c>
      <c r="B57">
        <f>750/2.2</f>
        <v>340.90909090909088</v>
      </c>
      <c r="C57" t="s">
        <v>502</v>
      </c>
    </row>
    <row r="58" spans="1:3">
      <c r="A58" t="s">
        <v>219</v>
      </c>
      <c r="B58">
        <f>B57*B52</f>
        <v>402490071.91155946</v>
      </c>
    </row>
    <row r="59" spans="1:3">
      <c r="A59" t="s">
        <v>221</v>
      </c>
      <c r="B59">
        <f>B58*0.75</f>
        <v>301867553.93366957</v>
      </c>
    </row>
    <row r="60" spans="1:3">
      <c r="A60" t="s">
        <v>372</v>
      </c>
      <c r="B60">
        <f>B58-B59</f>
        <v>100622517.9778899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3D7E-273C-214E-B78D-C6E8AD42F852}">
  <dimension ref="A1:L69"/>
  <sheetViews>
    <sheetView workbookViewId="0">
      <selection activeCell="C5" sqref="C5"/>
    </sheetView>
  </sheetViews>
  <sheetFormatPr baseColWidth="10" defaultRowHeight="16"/>
  <cols>
    <col min="1" max="1" width="16" customWidth="1"/>
    <col min="2" max="2" width="25" customWidth="1"/>
    <col min="3" max="3" width="14.33203125" customWidth="1"/>
    <col min="4" max="4" width="17.1640625" bestFit="1" customWidth="1"/>
    <col min="5" max="5" width="13" customWidth="1"/>
  </cols>
  <sheetData>
    <row r="1" spans="1:12">
      <c r="A1" t="s">
        <v>703</v>
      </c>
      <c r="K1" s="3"/>
    </row>
    <row r="2" spans="1:12">
      <c r="B2" s="48" t="s">
        <v>777</v>
      </c>
      <c r="C2" s="128">
        <v>0</v>
      </c>
      <c r="D2" s="63" t="s">
        <v>696</v>
      </c>
      <c r="E2" s="125">
        <v>0</v>
      </c>
      <c r="F2" s="45" t="s">
        <v>701</v>
      </c>
    </row>
    <row r="3" spans="1:12">
      <c r="B3" s="48" t="s">
        <v>807</v>
      </c>
      <c r="C3" s="131">
        <v>510</v>
      </c>
      <c r="D3" s="63" t="s">
        <v>696</v>
      </c>
      <c r="E3" s="125"/>
      <c r="F3" s="45" t="s">
        <v>830</v>
      </c>
    </row>
    <row r="4" spans="1:12">
      <c r="B4" t="s">
        <v>37</v>
      </c>
      <c r="C4" s="2">
        <f>C5*E4</f>
        <v>10278000000</v>
      </c>
      <c r="D4" t="s">
        <v>775</v>
      </c>
      <c r="E4">
        <v>0.01</v>
      </c>
      <c r="F4" t="s">
        <v>3</v>
      </c>
      <c r="G4" s="127">
        <f>(2*C16*C19)/C8</f>
        <v>10278000000</v>
      </c>
      <c r="H4" t="s">
        <v>812</v>
      </c>
      <c r="K4" s="124"/>
    </row>
    <row r="5" spans="1:12">
      <c r="B5" t="s">
        <v>808</v>
      </c>
      <c r="C5" s="2">
        <f>Vehicle!B10</f>
        <v>1027800000000</v>
      </c>
      <c r="G5" s="3"/>
      <c r="K5" s="124"/>
    </row>
    <row r="6" spans="1:12">
      <c r="B6" t="s">
        <v>40</v>
      </c>
      <c r="C6" s="2">
        <f>Vehicle!B11</f>
        <v>1018000000000</v>
      </c>
    </row>
    <row r="7" spans="1:12">
      <c r="B7" t="s">
        <v>715</v>
      </c>
      <c r="C7" s="4">
        <f>C4/C8</f>
        <v>769.29870302283041</v>
      </c>
      <c r="D7" t="s">
        <v>199</v>
      </c>
      <c r="E7" s="2">
        <f>C7/C14</f>
        <v>3.374404750398202</v>
      </c>
      <c r="G7" s="2"/>
    </row>
    <row r="8" spans="1:12">
      <c r="B8" t="s">
        <v>714</v>
      </c>
      <c r="C8" s="2">
        <f>C13*C21</f>
        <v>13360220.106461015</v>
      </c>
      <c r="E8" s="3">
        <f>C8/1000</f>
        <v>13360.220106461014</v>
      </c>
      <c r="G8" s="2">
        <f>3100000</f>
        <v>3100000</v>
      </c>
      <c r="I8" s="2"/>
      <c r="J8" s="2"/>
    </row>
    <row r="9" spans="1:12">
      <c r="B9" t="s">
        <v>704</v>
      </c>
      <c r="C9" s="2">
        <f>C8/9.8</f>
        <v>1363287.7659654096</v>
      </c>
      <c r="D9" t="s">
        <v>4</v>
      </c>
      <c r="K9" s="123"/>
      <c r="L9" s="123"/>
    </row>
    <row r="10" spans="1:12">
      <c r="A10" t="s">
        <v>776</v>
      </c>
      <c r="H10" t="s">
        <v>33</v>
      </c>
    </row>
    <row r="11" spans="1:12">
      <c r="B11" t="s">
        <v>715</v>
      </c>
      <c r="C11" s="4">
        <f>C7-C14</f>
        <v>541.31813758175576</v>
      </c>
      <c r="D11" t="s">
        <v>199</v>
      </c>
    </row>
    <row r="12" spans="1:12">
      <c r="A12" t="s">
        <v>757</v>
      </c>
      <c r="C12" s="2"/>
      <c r="K12" s="123"/>
      <c r="L12" s="123"/>
    </row>
    <row r="13" spans="1:12">
      <c r="B13" t="s">
        <v>811</v>
      </c>
      <c r="C13" s="2">
        <f>G49</f>
        <v>26720440.212922029</v>
      </c>
      <c r="K13" s="123"/>
      <c r="L13" s="123"/>
    </row>
    <row r="14" spans="1:12">
      <c r="B14" t="s">
        <v>790</v>
      </c>
      <c r="C14" s="3">
        <f>C16/C20/C49</f>
        <v>227.98056544107465</v>
      </c>
      <c r="D14" t="s">
        <v>199</v>
      </c>
      <c r="E14" s="3"/>
      <c r="G14" s="2"/>
    </row>
    <row r="15" spans="1:12">
      <c r="B15" t="s">
        <v>813</v>
      </c>
      <c r="C15" s="2">
        <f>C14/C7</f>
        <v>0.29634856336721122</v>
      </c>
      <c r="D15" t="s">
        <v>753</v>
      </c>
      <c r="E15" s="3"/>
      <c r="G15" s="2"/>
    </row>
    <row r="16" spans="1:12">
      <c r="B16" t="s">
        <v>791</v>
      </c>
      <c r="C16" s="2">
        <f>(C4*C8/C19)/2</f>
        <v>6.9351688007174904E+16</v>
      </c>
      <c r="D16" t="s">
        <v>656</v>
      </c>
      <c r="E16" s="2">
        <f>C16/1000000000</f>
        <v>69351688.007174909</v>
      </c>
      <c r="F16" t="s">
        <v>809</v>
      </c>
      <c r="G16" s="2">
        <f>C5/C16</f>
        <v>1.4820115119529132E-5</v>
      </c>
    </row>
    <row r="17" spans="1:11">
      <c r="C17" s="2"/>
      <c r="G17" s="2"/>
    </row>
    <row r="18" spans="1:11">
      <c r="A18" t="s">
        <v>121</v>
      </c>
      <c r="H18" t="s">
        <v>712</v>
      </c>
      <c r="I18" t="s">
        <v>713</v>
      </c>
      <c r="K18" s="124"/>
    </row>
    <row r="19" spans="1:11">
      <c r="B19" t="s">
        <v>784</v>
      </c>
      <c r="C19">
        <v>0.99</v>
      </c>
      <c r="D19">
        <v>1.7</v>
      </c>
      <c r="H19" t="s">
        <v>786</v>
      </c>
      <c r="K19" s="124"/>
    </row>
    <row r="20" spans="1:11">
      <c r="B20" t="s">
        <v>782</v>
      </c>
      <c r="C20">
        <v>0.9</v>
      </c>
      <c r="K20" s="124"/>
    </row>
    <row r="21" spans="1:11">
      <c r="B21" t="s">
        <v>810</v>
      </c>
      <c r="C21">
        <v>0.5</v>
      </c>
      <c r="H21" s="2"/>
    </row>
    <row r="22" spans="1:11">
      <c r="B22" t="s">
        <v>747</v>
      </c>
      <c r="C22" s="2">
        <f>C7/1000*Structure!B3*E22</f>
        <v>1381.2465045713091</v>
      </c>
      <c r="D22" t="s">
        <v>33</v>
      </c>
      <c r="E22">
        <v>10</v>
      </c>
      <c r="F22" t="s">
        <v>748</v>
      </c>
    </row>
    <row r="23" spans="1:11">
      <c r="C23" s="2"/>
      <c r="E23" s="3"/>
      <c r="G23" s="2"/>
    </row>
    <row r="24" spans="1:11">
      <c r="A24" t="s">
        <v>138</v>
      </c>
    </row>
    <row r="25" spans="1:11">
      <c r="B25" t="s">
        <v>707</v>
      </c>
      <c r="C25" s="2">
        <v>5.0520903105145081E-11</v>
      </c>
      <c r="D25" t="s">
        <v>136</v>
      </c>
      <c r="E25" s="2"/>
    </row>
    <row r="26" spans="1:11">
      <c r="B26" t="s">
        <v>749</v>
      </c>
      <c r="C26" s="2">
        <f>(G31)*3.6</f>
        <v>108417677268525.17</v>
      </c>
      <c r="D26" t="s">
        <v>134</v>
      </c>
    </row>
    <row r="27" spans="1:11">
      <c r="B27" t="s">
        <v>750</v>
      </c>
      <c r="C27" s="2">
        <f>C26/E27</f>
        <v>1084176772685.2517</v>
      </c>
      <c r="D27" t="s">
        <v>33</v>
      </c>
      <c r="E27">
        <v>100</v>
      </c>
      <c r="F27" t="s">
        <v>748</v>
      </c>
    </row>
    <row r="28" spans="1:11">
      <c r="B28" t="s">
        <v>751</v>
      </c>
      <c r="C28" s="2">
        <f>C27/7000</f>
        <v>154882396.09789309</v>
      </c>
      <c r="D28" t="s">
        <v>13</v>
      </c>
      <c r="G28" s="2"/>
      <c r="I28" s="2"/>
    </row>
    <row r="29" spans="1:11">
      <c r="B29" t="s">
        <v>752</v>
      </c>
      <c r="C29" s="4">
        <f>POWER(C28*3/(4*PI()),1/3)</f>
        <v>333.14846492822926</v>
      </c>
      <c r="D29" t="s">
        <v>2</v>
      </c>
      <c r="G29" s="2"/>
    </row>
    <row r="30" spans="1:11">
      <c r="B30" t="s">
        <v>706</v>
      </c>
      <c r="C30" s="2">
        <f>C14</f>
        <v>227.98056544107465</v>
      </c>
      <c r="D30" t="s">
        <v>199</v>
      </c>
      <c r="E30" s="2">
        <f>G30/1000*3600</f>
        <v>1095120000000000</v>
      </c>
      <c r="F30" t="s">
        <v>719</v>
      </c>
      <c r="G30" s="2">
        <f>C16/C14</f>
        <v>304200000000000</v>
      </c>
      <c r="H30" t="s">
        <v>754</v>
      </c>
    </row>
    <row r="31" spans="1:11">
      <c r="B31" t="s">
        <v>705</v>
      </c>
      <c r="C31" s="2">
        <f>E31/(24*3600)</f>
        <v>1.760982178551971E-2</v>
      </c>
      <c r="D31" t="s">
        <v>199</v>
      </c>
      <c r="E31" s="2">
        <f>G31*C25</f>
        <v>1521.4886022689029</v>
      </c>
      <c r="F31" t="s">
        <v>695</v>
      </c>
      <c r="G31" s="2">
        <f>'Power Consumption'!C35</f>
        <v>30116021463479.215</v>
      </c>
      <c r="H31" t="s">
        <v>177</v>
      </c>
    </row>
    <row r="33" spans="1:8">
      <c r="B33" s="2" t="s">
        <v>755</v>
      </c>
    </row>
    <row r="35" spans="1:8">
      <c r="A35" t="s">
        <v>608</v>
      </c>
    </row>
    <row r="36" spans="1:8">
      <c r="B36" t="s">
        <v>700</v>
      </c>
      <c r="C36">
        <v>149597870700</v>
      </c>
    </row>
    <row r="37" spans="1:8">
      <c r="B37" t="s">
        <v>773</v>
      </c>
      <c r="C37" s="2">
        <v>6.0221407599999999E+23</v>
      </c>
      <c r="E37" s="3"/>
      <c r="G37" s="2"/>
    </row>
    <row r="38" spans="1:8">
      <c r="B38" t="s">
        <v>771</v>
      </c>
      <c r="C38" s="2">
        <v>1.38E-16</v>
      </c>
      <c r="D38" t="s">
        <v>772</v>
      </c>
      <c r="E38" s="3"/>
      <c r="G38" s="2"/>
    </row>
    <row r="39" spans="1:8">
      <c r="B39" t="s">
        <v>783</v>
      </c>
      <c r="C39" s="2">
        <v>18</v>
      </c>
      <c r="E39" s="2">
        <f>C39/C37</f>
        <v>2.988970320912924E-23</v>
      </c>
      <c r="F39" t="s">
        <v>774</v>
      </c>
      <c r="G39" s="2"/>
    </row>
    <row r="40" spans="1:8">
      <c r="B40" t="s">
        <v>805</v>
      </c>
      <c r="C40" s="2">
        <v>299792458</v>
      </c>
      <c r="D40" t="s">
        <v>696</v>
      </c>
      <c r="E40" s="2"/>
      <c r="G40" s="2"/>
    </row>
    <row r="41" spans="1:8">
      <c r="B41" t="s">
        <v>806</v>
      </c>
      <c r="C41" s="36">
        <v>0.62749999999999995</v>
      </c>
      <c r="E41" s="2"/>
      <c r="G41" s="2"/>
    </row>
    <row r="43" spans="1:8">
      <c r="A43" t="s">
        <v>759</v>
      </c>
    </row>
    <row r="44" spans="1:8">
      <c r="D44" t="s">
        <v>780</v>
      </c>
      <c r="E44" t="s">
        <v>781</v>
      </c>
    </row>
    <row r="45" spans="1:8">
      <c r="A45" t="s">
        <v>778</v>
      </c>
    </row>
    <row r="46" spans="1:8">
      <c r="A46" t="s">
        <v>758</v>
      </c>
      <c r="B46">
        <v>1000000000000</v>
      </c>
      <c r="C46" t="s">
        <v>766</v>
      </c>
      <c r="D46" t="s">
        <v>799</v>
      </c>
      <c r="E46" t="s">
        <v>800</v>
      </c>
      <c r="F46" t="s">
        <v>796</v>
      </c>
      <c r="G46" t="s">
        <v>795</v>
      </c>
    </row>
    <row r="47" spans="1:8">
      <c r="A47" t="s">
        <v>785</v>
      </c>
      <c r="B47" t="s">
        <v>789</v>
      </c>
      <c r="C47" s="2">
        <v>345000000000000</v>
      </c>
      <c r="D47">
        <f>C65*2</f>
        <v>4.0282035562200003</v>
      </c>
      <c r="E47">
        <f>C66+C60</f>
        <v>4.0233256666215294</v>
      </c>
      <c r="F47">
        <f>(D47-E47)/D47</f>
        <v>1.2109342366621212E-3</v>
      </c>
      <c r="G47" s="2">
        <f>SQRT(2*F47)*$C$40</f>
        <v>14753531.21330481</v>
      </c>
      <c r="H47" t="s">
        <v>786</v>
      </c>
    </row>
    <row r="48" spans="1:8">
      <c r="C48" s="2"/>
      <c r="D48">
        <f>C65*2</f>
        <v>4.0282035562200003</v>
      </c>
      <c r="E48">
        <f>C69+C61</f>
        <v>4.0246942158848995</v>
      </c>
      <c r="F48">
        <f>(D48-E48)/D48</f>
        <v>8.7119240279750392E-4</v>
      </c>
      <c r="G48" s="2">
        <f t="shared" ref="G48:G50" si="0">SQRT(2*F48)*$C$40</f>
        <v>12513901.739189327</v>
      </c>
    </row>
    <row r="49" spans="1:8">
      <c r="A49" t="s">
        <v>787</v>
      </c>
      <c r="B49" t="s">
        <v>761</v>
      </c>
      <c r="C49" s="2">
        <v>338000000000000</v>
      </c>
      <c r="D49">
        <f>C65+C66</f>
        <v>5.03015097811</v>
      </c>
      <c r="E49">
        <f>C61+C68</f>
        <v>5.0101709158848999</v>
      </c>
      <c r="F49">
        <f>(D49-E49)/D49</f>
        <v>3.9720601453213768E-3</v>
      </c>
      <c r="G49" s="2">
        <f t="shared" si="0"/>
        <v>26720440.212922029</v>
      </c>
      <c r="H49" t="s">
        <v>786</v>
      </c>
    </row>
    <row r="50" spans="1:8">
      <c r="A50" t="s">
        <v>788</v>
      </c>
      <c r="B50" t="s">
        <v>760</v>
      </c>
      <c r="C50" s="2">
        <v>352000000000000</v>
      </c>
      <c r="D50">
        <f>C65+C69</f>
        <v>5.0301310781100002</v>
      </c>
      <c r="E50">
        <f>C68+C60</f>
        <v>5.0087824666215299</v>
      </c>
      <c r="F50">
        <f>(D50-E50)/D50</f>
        <v>4.2441461578157647E-3</v>
      </c>
      <c r="G50" s="2">
        <f t="shared" si="0"/>
        <v>27620457.41349294</v>
      </c>
      <c r="H50" t="s">
        <v>786</v>
      </c>
    </row>
    <row r="51" spans="1:8">
      <c r="A51" t="s">
        <v>779</v>
      </c>
    </row>
    <row r="52" spans="1:8">
      <c r="A52" t="s">
        <v>762</v>
      </c>
      <c r="B52" t="s">
        <v>763</v>
      </c>
    </row>
    <row r="53" spans="1:8">
      <c r="A53" t="s">
        <v>764</v>
      </c>
      <c r="B53" t="s">
        <v>765</v>
      </c>
    </row>
    <row r="55" spans="1:8">
      <c r="A55" t="s">
        <v>767</v>
      </c>
    </row>
    <row r="56" spans="1:8">
      <c r="B56" t="s">
        <v>768</v>
      </c>
      <c r="C56">
        <v>1</v>
      </c>
    </row>
    <row r="57" spans="1:8">
      <c r="B57" t="s">
        <v>769</v>
      </c>
      <c r="C57">
        <v>2</v>
      </c>
    </row>
    <row r="58" spans="1:8">
      <c r="B58" t="s">
        <v>770</v>
      </c>
      <c r="C58">
        <v>18</v>
      </c>
    </row>
    <row r="60" spans="1:8">
      <c r="A60" t="s">
        <v>802</v>
      </c>
      <c r="B60" t="s">
        <v>794</v>
      </c>
      <c r="C60">
        <v>1.0072764666215299</v>
      </c>
    </row>
    <row r="61" spans="1:8">
      <c r="A61" t="s">
        <v>797</v>
      </c>
      <c r="B61" t="s">
        <v>794</v>
      </c>
      <c r="C61">
        <v>1.0086649158848999</v>
      </c>
    </row>
    <row r="62" spans="1:8">
      <c r="A62" t="s">
        <v>803</v>
      </c>
      <c r="B62" t="s">
        <v>794</v>
      </c>
      <c r="C62">
        <f>C60/1836</f>
        <v>5.4862552648231473E-4</v>
      </c>
    </row>
    <row r="64" spans="1:8">
      <c r="A64" t="s">
        <v>801</v>
      </c>
      <c r="B64" t="s">
        <v>794</v>
      </c>
      <c r="C64">
        <f>C60+C62</f>
        <v>1.0078250921480123</v>
      </c>
    </row>
    <row r="65" spans="1:4">
      <c r="A65" t="s">
        <v>792</v>
      </c>
      <c r="B65" t="s">
        <v>794</v>
      </c>
      <c r="C65">
        <v>2.0141017781100001</v>
      </c>
      <c r="D65">
        <f>C60+C61+C62</f>
        <v>2.0164900080329122</v>
      </c>
    </row>
    <row r="66" spans="1:4">
      <c r="A66" t="s">
        <v>793</v>
      </c>
      <c r="B66" t="s">
        <v>794</v>
      </c>
      <c r="C66">
        <v>3.0160491999999999</v>
      </c>
      <c r="D66">
        <f>C60+2*C61+C62</f>
        <v>3.0251549239178122</v>
      </c>
    </row>
    <row r="68" spans="1:4">
      <c r="A68" t="s">
        <v>798</v>
      </c>
      <c r="B68" t="s">
        <v>794</v>
      </c>
      <c r="C68">
        <v>4.001506</v>
      </c>
    </row>
    <row r="69" spans="1:4">
      <c r="A69" t="s">
        <v>804</v>
      </c>
      <c r="B69" t="s">
        <v>794</v>
      </c>
      <c r="C69">
        <v>3.0160293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89BDF-6291-5849-901A-C3C589C4A8B9}">
  <dimension ref="A1:I54"/>
  <sheetViews>
    <sheetView zoomScale="115" workbookViewId="0">
      <selection activeCell="B24" sqref="B24"/>
    </sheetView>
  </sheetViews>
  <sheetFormatPr baseColWidth="10" defaultRowHeight="16"/>
  <cols>
    <col min="1" max="1" width="20.1640625" bestFit="1" customWidth="1"/>
  </cols>
  <sheetData>
    <row r="1" spans="1:9">
      <c r="A1" t="s">
        <v>608</v>
      </c>
    </row>
    <row r="2" spans="1:9">
      <c r="B2" s="49">
        <f>3220/(390*55*30)</f>
        <v>5.0038850038850039E-3</v>
      </c>
      <c r="C2" t="s">
        <v>316</v>
      </c>
    </row>
    <row r="3" spans="1:9">
      <c r="A3" t="s">
        <v>170</v>
      </c>
      <c r="B3" s="49">
        <f>B2*1016.04691/0.0283168466</f>
        <v>179.54618916474604</v>
      </c>
    </row>
    <row r="4" spans="1:9">
      <c r="A4" t="s">
        <v>271</v>
      </c>
      <c r="B4" s="49">
        <v>310</v>
      </c>
      <c r="E4" t="s">
        <v>285</v>
      </c>
      <c r="F4" s="55" t="s">
        <v>283</v>
      </c>
    </row>
    <row r="5" spans="1:9">
      <c r="A5" t="s">
        <v>287</v>
      </c>
      <c r="B5" s="49">
        <v>2000</v>
      </c>
      <c r="C5" t="s">
        <v>278</v>
      </c>
      <c r="F5" t="s">
        <v>288</v>
      </c>
    </row>
    <row r="6" spans="1:9">
      <c r="B6" s="49"/>
    </row>
    <row r="7" spans="1:9">
      <c r="A7" t="s">
        <v>836</v>
      </c>
      <c r="B7" s="57">
        <f>Habitat!E3</f>
        <v>795</v>
      </c>
      <c r="C7">
        <f>Vehicle!B6/B7</f>
        <v>1</v>
      </c>
      <c r="D7">
        <f>B7*2</f>
        <v>1590</v>
      </c>
      <c r="E7" s="56"/>
    </row>
    <row r="8" spans="1:9">
      <c r="A8" t="s">
        <v>837</v>
      </c>
      <c r="B8" s="41">
        <f>Habitat!C28</f>
        <v>5808255037.7731485</v>
      </c>
      <c r="C8" s="3">
        <f>B8*Conversion!F19</f>
        <v>1435277.9023841226</v>
      </c>
      <c r="E8" s="8"/>
      <c r="G8" s="3"/>
      <c r="I8" s="3"/>
    </row>
    <row r="9" spans="1:9">
      <c r="A9" t="s">
        <v>838</v>
      </c>
      <c r="B9" s="46">
        <f>Habitat!E7</f>
        <v>3</v>
      </c>
      <c r="E9" s="8"/>
      <c r="G9" s="3"/>
      <c r="I9" s="3"/>
    </row>
    <row r="10" spans="1:9">
      <c r="A10" t="s">
        <v>839</v>
      </c>
      <c r="B10" s="41">
        <f>Habitat!E57</f>
        <v>6968209.5852948409</v>
      </c>
      <c r="E10" s="8"/>
      <c r="G10" s="3"/>
    </row>
    <row r="11" spans="1:9">
      <c r="A11" t="s">
        <v>840</v>
      </c>
      <c r="B11" s="41">
        <f>Habitat!E58</f>
        <v>1191339058.1310534</v>
      </c>
      <c r="E11" s="5"/>
      <c r="I11" s="48"/>
    </row>
    <row r="12" spans="1:9">
      <c r="A12" t="s">
        <v>843</v>
      </c>
      <c r="B12" s="41">
        <f>Habitat!E59</f>
        <v>59187605.593631789</v>
      </c>
      <c r="E12" s="5"/>
      <c r="I12" s="48"/>
    </row>
    <row r="13" spans="1:9">
      <c r="A13" t="s">
        <v>841</v>
      </c>
      <c r="B13" s="41">
        <f>Habitat!E61</f>
        <v>13936419170.589682</v>
      </c>
      <c r="E13" s="5"/>
      <c r="G13" s="48"/>
    </row>
    <row r="14" spans="1:9">
      <c r="A14" t="s">
        <v>842</v>
      </c>
      <c r="B14" s="41">
        <f>B11*Structure!B3</f>
        <v>213900387890.54849</v>
      </c>
      <c r="E14" s="5"/>
      <c r="G14" s="48"/>
    </row>
    <row r="15" spans="1:9">
      <c r="A15" t="s">
        <v>739</v>
      </c>
      <c r="B15" s="122">
        <f>Vehicle!B2</f>
        <v>1</v>
      </c>
      <c r="E15" s="5"/>
      <c r="G15" s="48"/>
    </row>
    <row r="16" spans="1:9">
      <c r="A16" t="s">
        <v>306</v>
      </c>
      <c r="B16" s="41">
        <f>B8*B15</f>
        <v>5808255037.7731485</v>
      </c>
      <c r="E16" s="5"/>
      <c r="G16" s="48"/>
    </row>
    <row r="18" spans="1:6">
      <c r="A18" t="s">
        <v>18</v>
      </c>
      <c r="B18" s="39">
        <f>Performance!C22</f>
        <v>1381.2465045713091</v>
      </c>
      <c r="C18" t="s">
        <v>33</v>
      </c>
      <c r="E18" t="s">
        <v>39</v>
      </c>
      <c r="F18" t="s">
        <v>38</v>
      </c>
    </row>
    <row r="19" spans="1:6">
      <c r="A19" t="s">
        <v>123</v>
      </c>
      <c r="B19" s="39">
        <f>'Power Consumption'!C43</f>
        <v>695593499.09829426</v>
      </c>
      <c r="C19" t="s">
        <v>33</v>
      </c>
      <c r="D19" s="2">
        <f>B19/B18</f>
        <v>503598.37783928536</v>
      </c>
      <c r="E19" s="69">
        <f>B19/12</f>
        <v>57966124.924857855</v>
      </c>
    </row>
    <row r="20" spans="1:6">
      <c r="A20" t="s">
        <v>281</v>
      </c>
      <c r="B20" s="39">
        <f>Agriculture!C47*Conversion!B11</f>
        <v>483381111292.72229</v>
      </c>
    </row>
    <row r="21" spans="1:6">
      <c r="A21" t="s">
        <v>289</v>
      </c>
      <c r="B21" s="39">
        <f>Structure!B12*Conversion!B10*0.9</f>
        <v>65254335.166979052</v>
      </c>
      <c r="C21" t="s">
        <v>33</v>
      </c>
      <c r="E21" t="s">
        <v>290</v>
      </c>
    </row>
    <row r="22" spans="1:6">
      <c r="B22" s="39"/>
    </row>
    <row r="23" spans="1:6">
      <c r="A23" t="s">
        <v>201</v>
      </c>
      <c r="B23" s="39">
        <f>Habitat!E62</f>
        <v>10626909030.122595</v>
      </c>
      <c r="C23" s="37">
        <f>B23/Vehicle!D12</f>
        <v>2.1211560956640611E-2</v>
      </c>
      <c r="D23" s="37"/>
    </row>
    <row r="24" spans="1:6">
      <c r="A24" t="s">
        <v>519</v>
      </c>
      <c r="B24" s="39">
        <f>Habitat!E75*2</f>
        <v>3970973114.1374817</v>
      </c>
      <c r="C24" s="37"/>
      <c r="D24" s="37"/>
    </row>
    <row r="25" spans="1:6">
      <c r="A25" t="s">
        <v>720</v>
      </c>
      <c r="B25" s="39">
        <f>PI()*(200^2)*50*Structure!B3*2</f>
        <v>2256243955.4400377</v>
      </c>
      <c r="C25" s="37"/>
      <c r="D25" s="37"/>
    </row>
    <row r="26" spans="1:6">
      <c r="A26" t="s">
        <v>710</v>
      </c>
      <c r="B26" s="119"/>
      <c r="C26" s="37"/>
      <c r="D26" s="37"/>
    </row>
    <row r="27" spans="1:6">
      <c r="A27" t="s">
        <v>709</v>
      </c>
      <c r="B27" s="51"/>
      <c r="C27" s="37"/>
      <c r="D27" s="37"/>
      <c r="E27" s="2" t="s">
        <v>718</v>
      </c>
    </row>
    <row r="28" spans="1:6">
      <c r="A28" t="s">
        <v>717</v>
      </c>
      <c r="B28" s="2"/>
      <c r="C28" s="37"/>
      <c r="D28" s="37"/>
      <c r="E28" s="2"/>
    </row>
    <row r="29" spans="1:6">
      <c r="A29" t="s">
        <v>711</v>
      </c>
      <c r="B29" s="2"/>
      <c r="C29" s="37"/>
      <c r="D29" s="37"/>
    </row>
    <row r="31" spans="1:6">
      <c r="A31" t="s">
        <v>697</v>
      </c>
      <c r="B31" s="2">
        <f>Vehicle!B9</f>
        <v>9800000000</v>
      </c>
      <c r="C31" s="127">
        <f>B49/B32</f>
        <v>-405476.33119161602</v>
      </c>
    </row>
    <row r="32" spans="1:6">
      <c r="A32" t="s">
        <v>742</v>
      </c>
      <c r="B32">
        <v>916.7</v>
      </c>
      <c r="C32" t="s">
        <v>170</v>
      </c>
    </row>
    <row r="33" spans="1:5">
      <c r="A33" t="s">
        <v>710</v>
      </c>
    </row>
    <row r="34" spans="1:5">
      <c r="A34" t="s">
        <v>741</v>
      </c>
      <c r="B34" s="2">
        <f>B31/B32</f>
        <v>10690520.344714737</v>
      </c>
    </row>
    <row r="35" spans="1:5">
      <c r="A35" t="s">
        <v>740</v>
      </c>
    </row>
    <row r="36" spans="1:5">
      <c r="A36" t="s">
        <v>735</v>
      </c>
      <c r="B36">
        <v>150</v>
      </c>
    </row>
    <row r="37" spans="1:5">
      <c r="A37" t="s">
        <v>736</v>
      </c>
      <c r="B37">
        <v>800</v>
      </c>
    </row>
    <row r="38" spans="1:5">
      <c r="A38" t="s">
        <v>737</v>
      </c>
      <c r="B38">
        <v>175</v>
      </c>
    </row>
    <row r="39" spans="1:5">
      <c r="A39" t="s">
        <v>738</v>
      </c>
      <c r="B39" s="2">
        <f>(PI()/6*B37*2*B37*2*B38*2)*0.5</f>
        <v>234572251.46803787</v>
      </c>
    </row>
    <row r="40" spans="1:5">
      <c r="A40" t="s">
        <v>304</v>
      </c>
      <c r="B40" s="2">
        <f>(B11*B15)*0.5</f>
        <v>595669529.06552672</v>
      </c>
    </row>
    <row r="41" spans="1:5">
      <c r="A41" t="s">
        <v>822</v>
      </c>
      <c r="B41" s="2">
        <f>PI()*B36^2*D41</f>
        <v>10602875.205865553</v>
      </c>
      <c r="D41">
        <v>150</v>
      </c>
      <c r="E41" t="s">
        <v>2</v>
      </c>
    </row>
    <row r="42" spans="1:5">
      <c r="A42" t="s">
        <v>823</v>
      </c>
      <c r="B42" s="2">
        <f>PI()*B37^2*D42</f>
        <v>140743350.88082275</v>
      </c>
      <c r="D42">
        <v>70</v>
      </c>
      <c r="E42" t="s">
        <v>2</v>
      </c>
    </row>
    <row r="44" spans="1:5">
      <c r="A44" t="s">
        <v>817</v>
      </c>
      <c r="B44" s="2">
        <f>Vehicle!B15</f>
        <v>1000000000</v>
      </c>
    </row>
    <row r="45" spans="1:5">
      <c r="A45" t="s">
        <v>744</v>
      </c>
      <c r="B45">
        <v>90</v>
      </c>
    </row>
    <row r="46" spans="1:5">
      <c r="A46" t="s">
        <v>745</v>
      </c>
      <c r="B46">
        <f>PI()*B45^2</f>
        <v>25446.900494077323</v>
      </c>
    </row>
    <row r="47" spans="1:5">
      <c r="A47" t="s">
        <v>746</v>
      </c>
      <c r="B47" s="3">
        <f>B54/B46</f>
        <v>17.862507642188028</v>
      </c>
    </row>
    <row r="49" spans="1:5">
      <c r="A49" t="s">
        <v>818</v>
      </c>
      <c r="B49" s="2">
        <f>B39-B40-B41</f>
        <v>-371700152.80335444</v>
      </c>
      <c r="C49" s="2" t="e">
        <f>SUM(B50:B54)</f>
        <v>#REF!</v>
      </c>
      <c r="E49" s="126">
        <f>B49/B34</f>
        <v>-34.769135721921941</v>
      </c>
    </row>
    <row r="50" spans="1:5">
      <c r="A50" t="s">
        <v>816</v>
      </c>
      <c r="B50" s="2">
        <f>Vehicle!B18/(B32*20/18)</f>
        <v>4908912.4031853387</v>
      </c>
    </row>
    <row r="51" spans="1:5">
      <c r="A51" t="s">
        <v>819</v>
      </c>
      <c r="B51" s="2" t="e">
        <f>Vehicle!B19/#REF!</f>
        <v>#REF!</v>
      </c>
    </row>
    <row r="52" spans="1:5">
      <c r="A52" t="s">
        <v>820</v>
      </c>
      <c r="B52" s="2" t="e">
        <f>Vehicle!B20/#REF!</f>
        <v>#REF!</v>
      </c>
    </row>
    <row r="53" spans="1:5">
      <c r="A53" t="s">
        <v>821</v>
      </c>
      <c r="B53" s="2">
        <f>B31/B32</f>
        <v>10690520.344714737</v>
      </c>
    </row>
    <row r="54" spans="1:5">
      <c r="A54" t="s">
        <v>743</v>
      </c>
      <c r="B54" s="2">
        <f>B44/2200</f>
        <v>454545.45454545453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83514-39E3-3B40-8427-EAE05288B8F8}">
  <dimension ref="A1:P84"/>
  <sheetViews>
    <sheetView workbookViewId="0">
      <selection activeCell="E14" sqref="E14"/>
    </sheetView>
  </sheetViews>
  <sheetFormatPr baseColWidth="10" defaultRowHeight="16"/>
  <cols>
    <col min="3" max="3" width="14.5" customWidth="1"/>
    <col min="4" max="4" width="12.6640625" bestFit="1" customWidth="1"/>
    <col min="5" max="5" width="14.83203125" customWidth="1"/>
    <col min="6" max="9" width="14.1640625" customWidth="1"/>
  </cols>
  <sheetData>
    <row r="1" spans="1:16">
      <c r="A1" t="s">
        <v>69</v>
      </c>
      <c r="E1">
        <v>1000000</v>
      </c>
      <c r="J1" t="s">
        <v>835</v>
      </c>
      <c r="K1" t="s">
        <v>834</v>
      </c>
    </row>
    <row r="2" spans="1:16">
      <c r="A2" t="s">
        <v>845</v>
      </c>
      <c r="E2" s="48">
        <f>E1*K16</f>
        <v>1245371.2669707853</v>
      </c>
      <c r="F2" s="48"/>
    </row>
    <row r="3" spans="1:16">
      <c r="A3" t="s">
        <v>307</v>
      </c>
      <c r="E3" s="3">
        <v>795</v>
      </c>
      <c r="H3" t="s">
        <v>622</v>
      </c>
      <c r="I3" s="10">
        <v>1000</v>
      </c>
      <c r="J3">
        <f>K3</f>
        <v>520000</v>
      </c>
      <c r="K3">
        <f>E1-K4</f>
        <v>520000</v>
      </c>
    </row>
    <row r="4" spans="1:16">
      <c r="A4" t="s">
        <v>828</v>
      </c>
      <c r="E4" s="3">
        <f>Gravity!C7</f>
        <v>775</v>
      </c>
      <c r="H4" t="s">
        <v>623</v>
      </c>
      <c r="I4" s="10">
        <v>2000</v>
      </c>
      <c r="J4">
        <f>K4/4</f>
        <v>120000</v>
      </c>
      <c r="K4">
        <f>E1*0.48</f>
        <v>480000</v>
      </c>
    </row>
    <row r="5" spans="1:16">
      <c r="A5" t="s">
        <v>847</v>
      </c>
      <c r="E5">
        <f>E3*PI()*2</f>
        <v>4995.1323192077707</v>
      </c>
      <c r="F5">
        <f>Gravity!D16*PI()*2</f>
        <v>5026.5482457436692</v>
      </c>
      <c r="I5" s="10"/>
    </row>
    <row r="6" spans="1:16">
      <c r="A6" t="s">
        <v>829</v>
      </c>
      <c r="E6" s="3">
        <v>600</v>
      </c>
      <c r="F6">
        <f>E5/E6</f>
        <v>8.3252205320129509</v>
      </c>
    </row>
    <row r="7" spans="1:16">
      <c r="A7" t="s">
        <v>833</v>
      </c>
      <c r="E7">
        <v>3</v>
      </c>
      <c r="I7" s="10"/>
    </row>
    <row r="8" spans="1:16">
      <c r="A8" t="s">
        <v>511</v>
      </c>
      <c r="E8" s="2">
        <f>Vehicle!D11</f>
        <v>517108762668.91284</v>
      </c>
      <c r="F8" s="2">
        <f>E8*3</f>
        <v>1551326288006.7385</v>
      </c>
      <c r="I8" s="10"/>
    </row>
    <row r="9" spans="1:16">
      <c r="A9" t="s">
        <v>846</v>
      </c>
      <c r="E9" s="83">
        <f>Gravity!G12</f>
        <v>0.98113207547169812</v>
      </c>
      <c r="I9" s="10"/>
    </row>
    <row r="10" spans="1:16">
      <c r="E10" s="2"/>
      <c r="I10" s="10"/>
    </row>
    <row r="11" spans="1:16">
      <c r="A11" t="s">
        <v>302</v>
      </c>
      <c r="E11">
        <f>Structure!B5</f>
        <v>2000</v>
      </c>
      <c r="F11" t="s">
        <v>278</v>
      </c>
    </row>
    <row r="12" spans="1:16">
      <c r="A12" t="s">
        <v>6</v>
      </c>
      <c r="E12" s="37">
        <v>9.8000000000000007</v>
      </c>
    </row>
    <row r="13" spans="1:16">
      <c r="A13" t="s">
        <v>309</v>
      </c>
      <c r="E13" s="37">
        <f>SQRT(E12*1/E3)</f>
        <v>0.11102722200054017</v>
      </c>
      <c r="F13">
        <f>E12/E3</f>
        <v>1.2327044025157233E-2</v>
      </c>
      <c r="H13" t="s">
        <v>614</v>
      </c>
      <c r="I13" s="10" t="s">
        <v>615</v>
      </c>
      <c r="J13" t="s">
        <v>616</v>
      </c>
      <c r="K13" t="s">
        <v>624</v>
      </c>
      <c r="L13" t="s">
        <v>22</v>
      </c>
      <c r="M13" t="s">
        <v>625</v>
      </c>
    </row>
    <row r="14" spans="1:16">
      <c r="A14" t="s">
        <v>308</v>
      </c>
      <c r="E14" s="37">
        <f>E13*30/PI()</f>
        <v>1.0602318719488322</v>
      </c>
      <c r="H14" t="s">
        <v>113</v>
      </c>
      <c r="I14" s="10">
        <f>Cattle!D11</f>
        <v>25000</v>
      </c>
    </row>
    <row r="15" spans="1:16">
      <c r="A15" t="s">
        <v>319</v>
      </c>
      <c r="E15" s="37">
        <f>Structure!B3</f>
        <v>179.54618916474604</v>
      </c>
      <c r="H15" t="s">
        <v>114</v>
      </c>
      <c r="I15" s="10">
        <f>Agriculture!C45</f>
        <v>1256408458.6543489</v>
      </c>
      <c r="N15" t="s">
        <v>698</v>
      </c>
    </row>
    <row r="16" spans="1:16">
      <c r="A16" t="s">
        <v>322</v>
      </c>
      <c r="E16" s="37">
        <f>2*E3*PI()/6</f>
        <v>832.52205320129508</v>
      </c>
      <c r="H16" t="s">
        <v>538</v>
      </c>
      <c r="I16" s="10">
        <f>I14+I15</f>
        <v>1256433458.6543489</v>
      </c>
      <c r="J16">
        <f>Habitat!C31*Vehicle!$B$2</f>
        <v>1564726128.2688522</v>
      </c>
      <c r="K16" s="34">
        <f>J16/I16</f>
        <v>1.2453712669707853</v>
      </c>
      <c r="L16" s="3">
        <f>J16*Conversion!$F$19</f>
        <v>386659.47355651605</v>
      </c>
      <c r="M16" s="37">
        <f>L16/Vehicle!$B$1</f>
        <v>0.38665947355651603</v>
      </c>
      <c r="O16">
        <v>14956840</v>
      </c>
      <c r="P16">
        <f>O16/I16</f>
        <v>1.1904203837439115E-2</v>
      </c>
    </row>
    <row r="17" spans="1:15">
      <c r="A17" t="s">
        <v>690</v>
      </c>
      <c r="E17" s="37">
        <f>E3/8</f>
        <v>99.375</v>
      </c>
      <c r="H17" t="s">
        <v>115</v>
      </c>
      <c r="I17" s="10">
        <f>Habitat!I3*Habitat!J3+Habitat!I4*Habitat!J4</f>
        <v>760000000</v>
      </c>
      <c r="J17">
        <f>Habitat!C30*Vehicle!$B$2</f>
        <v>934190186.75626719</v>
      </c>
      <c r="K17" s="34">
        <f>J17/I17</f>
        <v>1.2291976141529832</v>
      </c>
      <c r="L17" s="3">
        <f>J17*Conversion!$F$19</f>
        <v>230847.73704934117</v>
      </c>
      <c r="M17" s="37">
        <f>L17/Vehicle!$B$1</f>
        <v>0.23084773704934117</v>
      </c>
    </row>
    <row r="18" spans="1:15">
      <c r="A18" t="s">
        <v>320</v>
      </c>
      <c r="E18">
        <f>$F$13*($E$3-E51)/9.8</f>
        <v>0.65786163522012575</v>
      </c>
      <c r="H18" t="s">
        <v>613</v>
      </c>
      <c r="I18" s="10">
        <f>Vehicle!B1*40*Conversion!E16/1000</f>
        <v>161874256.80000001</v>
      </c>
      <c r="J18">
        <f>Habitat!C29*Vehicle!$B$2</f>
        <v>198975450.2513473</v>
      </c>
      <c r="K18" s="34">
        <f>J18/I18</f>
        <v>1.229197614152983</v>
      </c>
      <c r="L18" s="3">
        <f>J18*Conversion!$F$19</f>
        <v>49168.823511610426</v>
      </c>
      <c r="M18" s="37">
        <f>L18/Vehicle!$B$1</f>
        <v>4.9168823511610428E-2</v>
      </c>
    </row>
    <row r="19" spans="1:15">
      <c r="H19" t="s">
        <v>731</v>
      </c>
      <c r="I19" s="10">
        <f>(Agriculture!E40)/1000/2</f>
        <v>3819378.9795055734</v>
      </c>
      <c r="J19">
        <f>Habitat!C32*Vehicle!$B$2</f>
        <v>50628824.129405163</v>
      </c>
      <c r="K19" s="34">
        <f>J19/I19</f>
        <v>13.255773883941512</v>
      </c>
      <c r="L19" s="3">
        <f>J19*Conversion!$F$19</f>
        <v>12510.888730617309</v>
      </c>
      <c r="M19" s="37">
        <f>L19/Vehicle!$B$1</f>
        <v>1.2510888730617309E-2</v>
      </c>
    </row>
    <row r="20" spans="1:15">
      <c r="A20" t="s">
        <v>515</v>
      </c>
      <c r="C20" s="3">
        <f>Habitat!E51</f>
        <v>272</v>
      </c>
      <c r="D20" s="3">
        <f>Habitat!E50</f>
        <v>136</v>
      </c>
      <c r="E20">
        <f>D20*D20</f>
        <v>18496</v>
      </c>
      <c r="F20">
        <f>D20*2</f>
        <v>272</v>
      </c>
      <c r="H20" t="s">
        <v>628</v>
      </c>
      <c r="I20" s="10">
        <f>Vehicle!B1*250</f>
        <v>250000000</v>
      </c>
      <c r="J20">
        <f>Habitat!C33*Vehicle!$B$2</f>
        <v>307299403.5382458</v>
      </c>
      <c r="K20" s="34">
        <f>J20/I20</f>
        <v>1.2291976141529832</v>
      </c>
      <c r="L20" s="3">
        <f>J20*Conversion!$F$19</f>
        <v>75936.755608335909</v>
      </c>
      <c r="M20" s="37">
        <f>L20/Vehicle!$B$1</f>
        <v>7.5936755608335904E-2</v>
      </c>
    </row>
    <row r="21" spans="1:15">
      <c r="A21" t="s">
        <v>533</v>
      </c>
      <c r="C21" s="3">
        <v>0.9</v>
      </c>
      <c r="D21" s="3">
        <f>C20*C21</f>
        <v>244.8</v>
      </c>
      <c r="I21" s="10"/>
    </row>
    <row r="22" spans="1:15">
      <c r="A22" t="s">
        <v>309</v>
      </c>
      <c r="C22" s="3">
        <f>Habitat!E13</f>
        <v>0.11102722200054017</v>
      </c>
      <c r="D22" s="3">
        <f>C22*C22</f>
        <v>1.2327044025157233E-2</v>
      </c>
      <c r="H22" t="s">
        <v>117</v>
      </c>
      <c r="I22" s="39">
        <f>SUM(I16:I19)</f>
        <v>2182127094.4338546</v>
      </c>
      <c r="J22" s="58">
        <f>Structure!B16</f>
        <v>5808255037.7731485</v>
      </c>
      <c r="K22" s="34">
        <f>J22/I22</f>
        <v>2.6617400299866953</v>
      </c>
      <c r="L22" t="s">
        <v>174</v>
      </c>
      <c r="M22">
        <f>I26/Vehicle!B1</f>
        <v>1.4352510776186986</v>
      </c>
    </row>
    <row r="23" spans="1:15">
      <c r="A23" t="s">
        <v>516</v>
      </c>
      <c r="C23" s="3">
        <f>Habitat!E3</f>
        <v>795</v>
      </c>
      <c r="H23" t="s">
        <v>11</v>
      </c>
      <c r="I23" s="77">
        <f>Structure!B16</f>
        <v>5808255037.7731485</v>
      </c>
      <c r="J23" t="s">
        <v>13</v>
      </c>
      <c r="L23">
        <f>19000*6000</f>
        <v>114000000</v>
      </c>
      <c r="M23" s="13">
        <f>L23/I23</f>
        <v>1.962723731286203E-2</v>
      </c>
    </row>
    <row r="24" spans="1:15">
      <c r="A24" t="s">
        <v>631</v>
      </c>
      <c r="C24" s="3">
        <f>Vehicle!B2</f>
        <v>1</v>
      </c>
      <c r="I24" s="78">
        <f>I23/1000000</f>
        <v>5808.2550377731486</v>
      </c>
      <c r="J24" t="s">
        <v>20</v>
      </c>
    </row>
    <row r="25" spans="1:15">
      <c r="A25" t="s">
        <v>517</v>
      </c>
      <c r="C25" s="3">
        <v>5</v>
      </c>
      <c r="D25">
        <f>C25*3.2808399</f>
        <v>16.404199500000001</v>
      </c>
      <c r="E25" t="s">
        <v>518</v>
      </c>
      <c r="F25" s="48"/>
      <c r="I25" s="79">
        <f>I23/5400</f>
        <v>1075602.7847728052</v>
      </c>
      <c r="J25" t="s">
        <v>21</v>
      </c>
      <c r="O25">
        <f>750/0.26</f>
        <v>2884.6153846153843</v>
      </c>
    </row>
    <row r="26" spans="1:15">
      <c r="A26" t="s">
        <v>514</v>
      </c>
      <c r="C26" s="48">
        <v>5</v>
      </c>
      <c r="D26">
        <f>C26*3.2808399</f>
        <v>16.404199500000001</v>
      </c>
      <c r="I26" s="79">
        <f>I23/4046.85642</f>
        <v>1435251.0776186986</v>
      </c>
      <c r="J26" t="s">
        <v>22</v>
      </c>
      <c r="K26">
        <f>I26/7</f>
        <v>205035.86823124267</v>
      </c>
      <c r="N26">
        <v>109.72799999999999</v>
      </c>
      <c r="O26">
        <f>N26/O25</f>
        <v>3.8039040000000003E-2</v>
      </c>
    </row>
    <row r="27" spans="1:15">
      <c r="I27" s="10">
        <f>I23/2590000</f>
        <v>2242.5695126537253</v>
      </c>
      <c r="J27" t="s">
        <v>23</v>
      </c>
    </row>
    <row r="28" spans="1:15">
      <c r="A28" t="s">
        <v>293</v>
      </c>
      <c r="C28" s="2">
        <f>SUM(Gravity!I:I)</f>
        <v>5808255037.7731485</v>
      </c>
      <c r="D28" s="3">
        <f>C28*Conversion!F19</f>
        <v>1435277.9023841226</v>
      </c>
      <c r="H28" t="s">
        <v>223</v>
      </c>
      <c r="I28" s="79">
        <f>Vehicle!B1/(180)</f>
        <v>5555.5555555555557</v>
      </c>
      <c r="J28" t="s">
        <v>23</v>
      </c>
      <c r="L28" s="3">
        <f>I16/Vehicle!B1</f>
        <v>1256.4334586543489</v>
      </c>
    </row>
    <row r="29" spans="1:15">
      <c r="A29" t="s">
        <v>536</v>
      </c>
      <c r="C29" s="4">
        <f>SUM(Gravity!L:L)</f>
        <v>198975450.2513473</v>
      </c>
      <c r="D29">
        <f>Habitat!I18/$C$24</f>
        <v>161874256.80000001</v>
      </c>
      <c r="E29" s="34">
        <f>C29/D29</f>
        <v>1.229197614152983</v>
      </c>
    </row>
    <row r="30" spans="1:15">
      <c r="A30" t="s">
        <v>537</v>
      </c>
      <c r="C30" s="4">
        <f>SUM(Gravity!K:K)</f>
        <v>934190186.75626719</v>
      </c>
      <c r="D30">
        <f>Habitat!I17/$C$24</f>
        <v>760000000</v>
      </c>
      <c r="E30" s="34">
        <f>C30/D30</f>
        <v>1.2291976141529832</v>
      </c>
    </row>
    <row r="31" spans="1:15">
      <c r="A31" t="s">
        <v>538</v>
      </c>
      <c r="C31" s="4">
        <f>SUM(Gravity!J:J)</f>
        <v>1564726128.2688522</v>
      </c>
      <c r="D31">
        <f>Habitat!I16/$C$24</f>
        <v>1256433458.6543489</v>
      </c>
      <c r="E31" s="34">
        <f>C31/D31</f>
        <v>1.2453712669707853</v>
      </c>
      <c r="I31" t="s">
        <v>647</v>
      </c>
      <c r="M31" s="48"/>
    </row>
    <row r="32" spans="1:15" ht="17" thickBot="1">
      <c r="A32" t="s">
        <v>617</v>
      </c>
      <c r="C32" s="4">
        <f>SUM(Gravity!M:M)</f>
        <v>50628824.129405163</v>
      </c>
      <c r="D32">
        <f>Habitat!I19/$C$24</f>
        <v>3819378.9795055734</v>
      </c>
      <c r="E32" s="34">
        <f>C32/D32</f>
        <v>13.255773883941512</v>
      </c>
      <c r="H32" s="86" t="s">
        <v>644</v>
      </c>
      <c r="I32" s="113" t="s">
        <v>627</v>
      </c>
      <c r="J32" s="113"/>
      <c r="K32" s="113"/>
      <c r="L32" s="113"/>
      <c r="M32" s="113"/>
      <c r="N32" s="117"/>
      <c r="O32" s="117"/>
    </row>
    <row r="33" spans="1:15" ht="17" thickBot="1">
      <c r="A33" t="s">
        <v>626</v>
      </c>
      <c r="C33" s="4">
        <f>SUM(Gravity!N:N)</f>
        <v>307299403.5382458</v>
      </c>
      <c r="D33">
        <f>Habitat!I20/$C$24</f>
        <v>250000000</v>
      </c>
      <c r="E33" s="34">
        <f>C33/D33</f>
        <v>1.2291976141529832</v>
      </c>
      <c r="H33" s="86">
        <v>0</v>
      </c>
      <c r="I33" s="114">
        <v>1</v>
      </c>
      <c r="J33" s="115">
        <v>2</v>
      </c>
      <c r="K33" s="115">
        <v>3</v>
      </c>
      <c r="L33" s="115">
        <v>4</v>
      </c>
      <c r="M33" s="116">
        <v>5</v>
      </c>
      <c r="N33" s="117">
        <v>6</v>
      </c>
      <c r="O33" s="117">
        <v>7</v>
      </c>
    </row>
    <row r="34" spans="1:15">
      <c r="A34" t="s">
        <v>648</v>
      </c>
      <c r="C34" s="4">
        <f>SUM(Gravity!O:O)</f>
        <v>1362119804.6913788</v>
      </c>
      <c r="D34" s="4">
        <f>C34</f>
        <v>1362119804.6913788</v>
      </c>
      <c r="E34" s="34">
        <f t="shared" ref="E34:E35" si="0">C34/D34</f>
        <v>1</v>
      </c>
      <c r="G34" t="s">
        <v>730</v>
      </c>
      <c r="H34" s="102">
        <f>D29/C28</f>
        <v>2.7869688184708512E-2</v>
      </c>
      <c r="I34" s="103">
        <f>$I$18/$I$22*0.76</f>
        <v>5.637821714500927E-2</v>
      </c>
      <c r="J34" s="103">
        <f>$I$18/$I$22*0.76</f>
        <v>5.637821714500927E-2</v>
      </c>
      <c r="K34" s="104">
        <v>0</v>
      </c>
      <c r="L34" s="105">
        <v>0.5</v>
      </c>
      <c r="M34" s="106">
        <v>0.1</v>
      </c>
      <c r="N34" s="106">
        <v>0</v>
      </c>
      <c r="O34" s="106">
        <v>0</v>
      </c>
    </row>
    <row r="35" spans="1:15">
      <c r="A35" t="s">
        <v>676</v>
      </c>
      <c r="C35" s="4">
        <f>C28*0.1</f>
        <v>580825503.7773149</v>
      </c>
      <c r="D35" s="4">
        <f>C35</f>
        <v>580825503.7773149</v>
      </c>
      <c r="E35" s="34">
        <f t="shared" si="0"/>
        <v>1</v>
      </c>
      <c r="G35" t="s">
        <v>115</v>
      </c>
      <c r="H35" s="87">
        <f>D30/C28</f>
        <v>0.13084824875241352</v>
      </c>
      <c r="I35" s="107">
        <f>$I$17/$I$22*0.76</f>
        <v>0.26469585638404641</v>
      </c>
      <c r="J35" s="107">
        <f>$I$17/$I$22*0.76</f>
        <v>0.26469585638404641</v>
      </c>
      <c r="K35" s="80">
        <v>0</v>
      </c>
      <c r="L35" s="82">
        <v>0</v>
      </c>
      <c r="M35" s="108">
        <v>0</v>
      </c>
      <c r="N35" s="108">
        <v>0</v>
      </c>
      <c r="O35" s="108">
        <v>0</v>
      </c>
    </row>
    <row r="36" spans="1:15">
      <c r="A36" t="s">
        <v>312</v>
      </c>
      <c r="E36" s="34"/>
      <c r="G36" t="s">
        <v>538</v>
      </c>
      <c r="H36" s="87">
        <f>D31/C28</f>
        <v>0.21631857597218357</v>
      </c>
      <c r="I36" s="107">
        <f>$I$16/$I$22*0.77</f>
        <v>0.44335353592905691</v>
      </c>
      <c r="J36" s="107">
        <f>$I$16/$I$22*0.77</f>
        <v>0.44335353592905691</v>
      </c>
      <c r="K36" s="80">
        <v>0</v>
      </c>
      <c r="L36" s="82">
        <v>0.37</v>
      </c>
      <c r="M36" s="108">
        <v>0.22</v>
      </c>
      <c r="N36" s="108">
        <v>0</v>
      </c>
      <c r="O36" s="108">
        <v>0</v>
      </c>
    </row>
    <row r="37" spans="1:15">
      <c r="C37" s="83"/>
      <c r="E37" s="34"/>
      <c r="G37" t="s">
        <v>731</v>
      </c>
      <c r="H37" s="87">
        <f>D32/C28</f>
        <v>6.5757769840800603E-4</v>
      </c>
      <c r="I37" s="107">
        <f>$I$19/$I$22*0.77</f>
        <v>1.3477316796629134E-3</v>
      </c>
      <c r="J37" s="107">
        <f>$I$19/$I$22*0.77</f>
        <v>1.3477316796629134E-3</v>
      </c>
      <c r="K37" s="80">
        <v>0.04</v>
      </c>
      <c r="L37" s="82">
        <v>0.05</v>
      </c>
      <c r="M37" s="108">
        <v>0.6</v>
      </c>
      <c r="N37" s="108">
        <v>0</v>
      </c>
      <c r="O37" s="108">
        <v>0</v>
      </c>
    </row>
    <row r="38" spans="1:15">
      <c r="G38" t="s">
        <v>628</v>
      </c>
      <c r="H38" s="87">
        <f>D33/C28</f>
        <v>4.3042187089609718E-2</v>
      </c>
      <c r="I38" s="107">
        <f>$I$20/$I$22*0.76</f>
        <v>8.7071005389488948E-2</v>
      </c>
      <c r="J38" s="107">
        <f>$I$20/$I$22*0.76</f>
        <v>8.7071005389488948E-2</v>
      </c>
      <c r="K38" s="80">
        <v>0</v>
      </c>
      <c r="L38" s="82">
        <v>0</v>
      </c>
      <c r="M38" s="108">
        <v>0</v>
      </c>
      <c r="N38" s="108">
        <v>0.92</v>
      </c>
      <c r="O38" s="108">
        <v>0.92</v>
      </c>
    </row>
    <row r="39" spans="1:15">
      <c r="C39" s="3"/>
      <c r="G39" t="s">
        <v>832</v>
      </c>
      <c r="H39" s="87">
        <f>D34/$C$28</f>
        <v>0.23451446188795588</v>
      </c>
      <c r="I39" s="107">
        <v>0.1</v>
      </c>
      <c r="J39" s="107">
        <v>0.1</v>
      </c>
      <c r="K39" s="80">
        <v>0.88</v>
      </c>
      <c r="L39" s="82">
        <v>0</v>
      </c>
      <c r="M39" s="108">
        <v>0</v>
      </c>
      <c r="N39" s="108">
        <v>0</v>
      </c>
      <c r="O39" s="108">
        <v>0</v>
      </c>
    </row>
    <row r="40" spans="1:15" ht="17" thickBot="1">
      <c r="C40" s="3"/>
      <c r="H40" s="87">
        <f>D35/$C$28</f>
        <v>0.1</v>
      </c>
      <c r="I40" s="109">
        <v>0</v>
      </c>
      <c r="J40" s="109">
        <v>0</v>
      </c>
      <c r="K40" s="110">
        <v>0.08</v>
      </c>
      <c r="L40" s="111">
        <v>0.08</v>
      </c>
      <c r="M40" s="112">
        <v>0.08</v>
      </c>
      <c r="N40" s="112">
        <v>0.08</v>
      </c>
      <c r="O40" s="112">
        <v>0.08</v>
      </c>
    </row>
    <row r="41" spans="1:15" ht="17" thickBot="1">
      <c r="A41" t="s">
        <v>313</v>
      </c>
      <c r="E41" t="s">
        <v>831</v>
      </c>
      <c r="H41" s="117"/>
      <c r="I41" s="99">
        <v>5</v>
      </c>
      <c r="J41" s="100">
        <v>5</v>
      </c>
      <c r="K41" s="100">
        <v>5</v>
      </c>
      <c r="L41" s="100">
        <v>5</v>
      </c>
      <c r="M41" s="101">
        <v>5</v>
      </c>
      <c r="N41" s="101">
        <v>5</v>
      </c>
      <c r="O41" s="101">
        <v>5</v>
      </c>
    </row>
    <row r="42" spans="1:15">
      <c r="A42" t="s">
        <v>293</v>
      </c>
      <c r="E42" s="2">
        <f>Habitat!I22</f>
        <v>2182127094.4338546</v>
      </c>
      <c r="H42" s="87">
        <f>SUM(H34:H40)</f>
        <v>0.75325073958527922</v>
      </c>
      <c r="I42" s="85">
        <f>SUM(I34:I40)</f>
        <v>0.95284634652726452</v>
      </c>
      <c r="J42" s="85">
        <f>SUM(J34:J40)</f>
        <v>0.95284634652726452</v>
      </c>
      <c r="K42" s="85">
        <f>SUM(K34:K40)</f>
        <v>1</v>
      </c>
      <c r="L42" s="85">
        <f t="shared" ref="L42:M42" si="1">SUM(L34:L40)</f>
        <v>1</v>
      </c>
      <c r="M42" s="85">
        <f t="shared" si="1"/>
        <v>0.99999999999999989</v>
      </c>
      <c r="N42" s="85">
        <f t="shared" ref="N42:O42" si="2">SUM(N34:N40)</f>
        <v>1</v>
      </c>
      <c r="O42" s="85">
        <f t="shared" si="2"/>
        <v>1</v>
      </c>
    </row>
    <row r="43" spans="1:15">
      <c r="A43" t="s">
        <v>295</v>
      </c>
      <c r="E43">
        <f>Vehicle!B2</f>
        <v>1</v>
      </c>
    </row>
    <row r="44" spans="1:15">
      <c r="A44" t="s">
        <v>297</v>
      </c>
      <c r="E44" s="38">
        <f>E42/E43</f>
        <v>2182127094.4338546</v>
      </c>
      <c r="F44" s="38"/>
    </row>
    <row r="45" spans="1:15">
      <c r="E45" s="15">
        <f>E46/$E$44</f>
        <v>2.2913422470918145E-9</v>
      </c>
      <c r="F45" s="15"/>
      <c r="G45" s="34"/>
    </row>
    <row r="46" spans="1:15">
      <c r="A46" t="s">
        <v>298</v>
      </c>
      <c r="E46" s="38">
        <f>SUM(Gravity!H:H)</f>
        <v>5</v>
      </c>
      <c r="F46" s="38"/>
      <c r="G46" s="58"/>
    </row>
    <row r="47" spans="1:15">
      <c r="A47" t="s">
        <v>296</v>
      </c>
      <c r="E47" s="48">
        <v>4</v>
      </c>
    </row>
    <row r="48" spans="1:15">
      <c r="A48" t="s">
        <v>269</v>
      </c>
      <c r="E48" s="48">
        <f>E7</f>
        <v>3</v>
      </c>
      <c r="G48" s="3"/>
      <c r="H48" s="34"/>
      <c r="I48" s="34"/>
    </row>
    <row r="49" spans="1:9" ht="15" customHeight="1">
      <c r="A49" t="s">
        <v>315</v>
      </c>
      <c r="E49" s="3">
        <v>1</v>
      </c>
      <c r="F49" s="3"/>
      <c r="H49" s="58"/>
      <c r="I49" s="58"/>
    </row>
    <row r="50" spans="1:9">
      <c r="A50" t="s">
        <v>102</v>
      </c>
      <c r="E50" s="3">
        <f>140-4</f>
        <v>136</v>
      </c>
      <c r="F50" s="3">
        <f>E50*2</f>
        <v>272</v>
      </c>
    </row>
    <row r="51" spans="1:9">
      <c r="A51" t="s">
        <v>312</v>
      </c>
      <c r="E51" s="3">
        <f>E50*2</f>
        <v>272</v>
      </c>
      <c r="F51" s="3">
        <f>CEILING(E3*0.5,10)</f>
        <v>400</v>
      </c>
      <c r="H51" s="3"/>
      <c r="I51" s="3"/>
    </row>
    <row r="52" spans="1:9">
      <c r="A52" t="s">
        <v>317</v>
      </c>
      <c r="E52" s="3">
        <f>E51</f>
        <v>272</v>
      </c>
      <c r="F52" s="3"/>
    </row>
    <row r="53" spans="1:9">
      <c r="A53" t="s">
        <v>689</v>
      </c>
      <c r="E53" s="3">
        <f>E50/8</f>
        <v>17</v>
      </c>
      <c r="F53" s="3"/>
      <c r="H53" s="3"/>
    </row>
    <row r="54" spans="1:9">
      <c r="A54" t="s">
        <v>688</v>
      </c>
      <c r="E54" s="3">
        <f>E3-E50+E53</f>
        <v>676</v>
      </c>
      <c r="F54" s="3"/>
    </row>
    <row r="55" spans="1:9">
      <c r="A55" t="s">
        <v>303</v>
      </c>
      <c r="E55" s="3">
        <f>PI()*POWER(E3,2)-PI()*POWER(Gravity!C7,2)</f>
        <v>98646.009322719648</v>
      </c>
    </row>
    <row r="57" spans="1:9">
      <c r="A57" t="s">
        <v>299</v>
      </c>
      <c r="E57" s="38">
        <f>2*PI()*E3*E6+PI()*POWER(E3,2)*2</f>
        <v>6968209.5852948409</v>
      </c>
      <c r="F57" s="38"/>
      <c r="G57" s="38"/>
    </row>
    <row r="58" spans="1:9">
      <c r="A58" t="s">
        <v>741</v>
      </c>
      <c r="E58" s="38">
        <f>PI()*POWER(E3,2)*E6</f>
        <v>1191339058.1310534</v>
      </c>
      <c r="F58" s="38"/>
      <c r="G58" s="38"/>
      <c r="H58" s="3"/>
    </row>
    <row r="59" spans="1:9">
      <c r="A59" t="s">
        <v>844</v>
      </c>
      <c r="E59" s="38">
        <f>E55*E6</f>
        <v>59187605.593631789</v>
      </c>
      <c r="F59" s="38"/>
      <c r="G59" s="38"/>
      <c r="H59" s="3"/>
    </row>
    <row r="60" spans="1:9">
      <c r="A60" t="s">
        <v>321</v>
      </c>
      <c r="E60" s="3">
        <f>E57/E58</f>
        <v>5.849056603773585E-3</v>
      </c>
      <c r="F60" s="3"/>
      <c r="G60" s="3"/>
    </row>
    <row r="61" spans="1:9">
      <c r="A61" t="s">
        <v>305</v>
      </c>
      <c r="E61" s="2">
        <f>E57*E11</f>
        <v>13936419170.589682</v>
      </c>
      <c r="F61" s="2"/>
      <c r="G61" s="2"/>
      <c r="H61" s="38"/>
      <c r="I61" s="38"/>
    </row>
    <row r="62" spans="1:9">
      <c r="A62" t="s">
        <v>318</v>
      </c>
      <c r="E62" s="2">
        <f>E59*$E$15</f>
        <v>10626909030.122595</v>
      </c>
      <c r="F62" s="2"/>
      <c r="G62" s="2"/>
      <c r="H62" s="38"/>
      <c r="I62" s="38"/>
    </row>
    <row r="63" spans="1:9">
      <c r="E63" s="2"/>
      <c r="F63" s="2"/>
      <c r="G63" s="2"/>
      <c r="H63" s="3"/>
      <c r="I63" s="3"/>
    </row>
    <row r="64" spans="1:9">
      <c r="A64" t="s">
        <v>17</v>
      </c>
      <c r="E64" s="2">
        <f>E46*Conversion!B11</f>
        <v>8500</v>
      </c>
      <c r="F64" s="2"/>
      <c r="G64" s="2"/>
      <c r="H64" s="2"/>
      <c r="I64" s="2"/>
    </row>
    <row r="65" spans="1:9">
      <c r="A65" t="s">
        <v>289</v>
      </c>
      <c r="E65" s="2">
        <f>(E58-E64/Conversion!B11-E62/8000)*Conversion!B10</f>
        <v>1457763094.6403031</v>
      </c>
      <c r="F65" s="2"/>
      <c r="G65" s="2"/>
      <c r="H65" s="2"/>
      <c r="I65" s="2"/>
    </row>
    <row r="66" spans="1:9">
      <c r="E66" s="2"/>
      <c r="F66" s="3"/>
      <c r="G66" s="2"/>
      <c r="H66" s="2"/>
      <c r="I66" s="2"/>
    </row>
    <row r="67" spans="1:9">
      <c r="A67" t="s">
        <v>511</v>
      </c>
      <c r="E67" s="2">
        <f>(E65+E64+E62+E61)*Vehicle!B2</f>
        <v>26021099795.352577</v>
      </c>
      <c r="F67" s="2"/>
      <c r="G67" s="2"/>
      <c r="H67" s="3"/>
      <c r="I67" s="2"/>
    </row>
    <row r="68" spans="1:9">
      <c r="A68" t="s">
        <v>521</v>
      </c>
      <c r="E68" s="2">
        <f>0.5*E67*(POWER(E3,2)+POWER(Gravity!C7,2))</f>
        <v>1.6037454331370678E+16</v>
      </c>
      <c r="F68" s="2"/>
      <c r="G68" s="121"/>
      <c r="H68" s="2"/>
      <c r="I68" s="2"/>
    </row>
    <row r="69" spans="1:9">
      <c r="A69" t="s">
        <v>522</v>
      </c>
      <c r="E69" s="2">
        <f>E68*E13</f>
        <v>1780594002372616.8</v>
      </c>
      <c r="F69" s="2"/>
      <c r="G69" s="2"/>
      <c r="H69" s="2"/>
      <c r="I69" s="2"/>
    </row>
    <row r="70" spans="1:9">
      <c r="A70" t="s">
        <v>523</v>
      </c>
      <c r="E70" s="3">
        <f>E71-10</f>
        <v>785</v>
      </c>
      <c r="F70" s="2"/>
      <c r="G70" s="2"/>
      <c r="H70" s="2"/>
      <c r="I70" s="2"/>
    </row>
    <row r="71" spans="1:9">
      <c r="A71" t="s">
        <v>520</v>
      </c>
      <c r="E71" s="3">
        <f>E3</f>
        <v>795</v>
      </c>
      <c r="F71" s="2"/>
      <c r="G71" s="2"/>
      <c r="H71" s="2"/>
      <c r="I71" s="2"/>
    </row>
    <row r="72" spans="1:9">
      <c r="B72" t="s">
        <v>532</v>
      </c>
      <c r="E72" s="2">
        <f>(PI()*E71*E71-PI()*E70*E70)</f>
        <v>49637.163926718524</v>
      </c>
      <c r="H72" s="2"/>
      <c r="I72" s="2"/>
    </row>
    <row r="73" spans="1:9">
      <c r="A73" t="s">
        <v>525</v>
      </c>
      <c r="E73" s="3">
        <v>5</v>
      </c>
      <c r="H73" s="2"/>
      <c r="I73" s="2"/>
    </row>
    <row r="74" spans="1:9">
      <c r="A74" t="s">
        <v>528</v>
      </c>
      <c r="E74" s="2">
        <v>8000</v>
      </c>
      <c r="F74" s="2"/>
      <c r="G74" s="2"/>
      <c r="H74" s="2"/>
      <c r="I74" s="2"/>
    </row>
    <row r="75" spans="1:9">
      <c r="A75" t="s">
        <v>519</v>
      </c>
      <c r="E75" s="2">
        <f>E72*E73*E74</f>
        <v>1985486557.0687408</v>
      </c>
      <c r="F75" s="34">
        <f>E75/E67</f>
        <v>7.6302945405226599E-2</v>
      </c>
      <c r="G75" s="2"/>
      <c r="H75" s="2"/>
      <c r="I75" s="2"/>
    </row>
    <row r="76" spans="1:9">
      <c r="A76" t="s">
        <v>524</v>
      </c>
      <c r="E76" s="2">
        <f>0.5*E75*(E71*E71+E70*E70)</f>
        <v>1239191797430528</v>
      </c>
      <c r="F76" s="2"/>
      <c r="G76" s="2"/>
      <c r="H76" s="2"/>
      <c r="I76" s="2"/>
    </row>
    <row r="77" spans="1:9">
      <c r="A77" t="s">
        <v>526</v>
      </c>
      <c r="E77" s="2">
        <f>E69/E76</f>
        <v>1.4368994420917647</v>
      </c>
      <c r="F77" s="3">
        <f>E77*30/PI()</f>
        <v>13.721378936093458</v>
      </c>
      <c r="H77" s="2"/>
      <c r="I77" s="2"/>
    </row>
    <row r="78" spans="1:9">
      <c r="H78" s="2"/>
      <c r="I78" s="2"/>
    </row>
    <row r="79" spans="1:9">
      <c r="A79" t="s">
        <v>687</v>
      </c>
      <c r="H79" s="2"/>
      <c r="I79" s="2"/>
    </row>
    <row r="80" spans="1:9">
      <c r="A80" t="s">
        <v>301</v>
      </c>
      <c r="B80">
        <f>Vehicle!B19</f>
        <v>5000000000</v>
      </c>
    </row>
    <row r="81" spans="1:2">
      <c r="A81" t="s">
        <v>685</v>
      </c>
      <c r="B81" s="3">
        <f>E3*1.1</f>
        <v>874.50000000000011</v>
      </c>
    </row>
    <row r="82" spans="1:2">
      <c r="A82" t="s">
        <v>303</v>
      </c>
      <c r="B82">
        <f>B81*B81*PI()</f>
        <v>2402533.7672309582</v>
      </c>
    </row>
    <row r="83" spans="1:2">
      <c r="A83" t="s">
        <v>684</v>
      </c>
      <c r="B83">
        <f>B80/1000/B82</f>
        <v>2.0811362022032069</v>
      </c>
    </row>
    <row r="84" spans="1:2">
      <c r="A84" t="s">
        <v>686</v>
      </c>
      <c r="B84">
        <f>2*PI()*B81*(B83+B81)</f>
        <v>4816502.640236645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1592D-D057-2A40-966B-3B7EA007E8F0}">
  <dimension ref="A1:M12"/>
  <sheetViews>
    <sheetView tabSelected="1" workbookViewId="0">
      <selection activeCell="M6" sqref="M6"/>
    </sheetView>
  </sheetViews>
  <sheetFormatPr baseColWidth="10" defaultRowHeight="16"/>
  <sheetData>
    <row r="1" spans="1:13">
      <c r="B1" t="s">
        <v>859</v>
      </c>
      <c r="C1" t="s">
        <v>860</v>
      </c>
      <c r="D1" t="s">
        <v>861</v>
      </c>
      <c r="E1" t="s">
        <v>862</v>
      </c>
      <c r="F1" t="s">
        <v>863</v>
      </c>
      <c r="G1" t="s">
        <v>864</v>
      </c>
      <c r="H1" t="s">
        <v>865</v>
      </c>
      <c r="I1" t="s">
        <v>866</v>
      </c>
      <c r="J1" t="s">
        <v>867</v>
      </c>
      <c r="K1" t="s">
        <v>857</v>
      </c>
      <c r="L1" t="s">
        <v>858</v>
      </c>
      <c r="M1" t="s">
        <v>869</v>
      </c>
    </row>
    <row r="2" spans="1:13">
      <c r="A2" t="s">
        <v>848</v>
      </c>
      <c r="B2">
        <v>250000</v>
      </c>
      <c r="C2">
        <v>250000</v>
      </c>
      <c r="D2">
        <v>250000</v>
      </c>
      <c r="E2">
        <v>250000</v>
      </c>
      <c r="F2">
        <v>250000</v>
      </c>
      <c r="G2">
        <v>250000</v>
      </c>
      <c r="H2">
        <v>250000</v>
      </c>
      <c r="I2">
        <v>250000</v>
      </c>
      <c r="J2">
        <v>250000</v>
      </c>
      <c r="K2">
        <v>250000</v>
      </c>
      <c r="L2">
        <v>750000</v>
      </c>
      <c r="M2">
        <v>1000000</v>
      </c>
    </row>
    <row r="3" spans="1:13">
      <c r="A3" t="s">
        <v>849</v>
      </c>
      <c r="B3">
        <v>250121.96649670458</v>
      </c>
      <c r="C3">
        <v>251139.19720043382</v>
      </c>
      <c r="D3">
        <v>250005.020180819</v>
      </c>
      <c r="E3">
        <v>250712.63430361668</v>
      </c>
      <c r="F3">
        <v>250056.29041102552</v>
      </c>
      <c r="G3">
        <v>251930.14838762794</v>
      </c>
      <c r="H3">
        <v>250274.86069259793</v>
      </c>
      <c r="I3">
        <v>250002.4831395029</v>
      </c>
      <c r="J3">
        <v>250027.99420170425</v>
      </c>
      <c r="K3">
        <v>254338.05910743069</v>
      </c>
      <c r="L3">
        <v>834854.55414297373</v>
      </c>
      <c r="M3">
        <v>1245371.2669707853</v>
      </c>
    </row>
    <row r="4" spans="1:13">
      <c r="A4" t="s">
        <v>850</v>
      </c>
      <c r="B4">
        <v>318.3098861837907</v>
      </c>
      <c r="C4">
        <v>159.15494309189535</v>
      </c>
      <c r="D4">
        <v>159.15494309189535</v>
      </c>
      <c r="E4">
        <v>477.46482927568604</v>
      </c>
      <c r="F4">
        <v>182.39156478331205</v>
      </c>
      <c r="G4">
        <v>636.61977236758139</v>
      </c>
      <c r="H4">
        <v>795.77471545947674</v>
      </c>
      <c r="I4">
        <v>212.39227155613435</v>
      </c>
      <c r="J4">
        <v>225</v>
      </c>
      <c r="K4">
        <v>330</v>
      </c>
      <c r="L4">
        <v>500</v>
      </c>
      <c r="M4">
        <v>795</v>
      </c>
    </row>
    <row r="5" spans="1:13">
      <c r="A5" t="s">
        <v>851</v>
      </c>
      <c r="B5">
        <v>278.3098861837907</v>
      </c>
      <c r="C5">
        <v>119.15494309189535</v>
      </c>
      <c r="D5">
        <v>119.15494309189535</v>
      </c>
      <c r="E5">
        <v>437.46482927568604</v>
      </c>
      <c r="F5">
        <v>142.39156478331205</v>
      </c>
      <c r="G5">
        <v>596.61977236758139</v>
      </c>
      <c r="H5">
        <v>755.77471545947674</v>
      </c>
      <c r="I5">
        <v>172.39227155613435</v>
      </c>
      <c r="J5">
        <v>185</v>
      </c>
      <c r="K5">
        <v>290</v>
      </c>
      <c r="L5">
        <v>445</v>
      </c>
      <c r="M5">
        <v>775</v>
      </c>
    </row>
    <row r="6" spans="1:13">
      <c r="A6" t="s">
        <v>852</v>
      </c>
      <c r="B6">
        <v>2000</v>
      </c>
      <c r="C6">
        <v>1000</v>
      </c>
      <c r="D6">
        <v>1000</v>
      </c>
      <c r="E6">
        <v>3000</v>
      </c>
      <c r="F6">
        <v>1146</v>
      </c>
      <c r="G6">
        <v>4000</v>
      </c>
      <c r="H6">
        <v>5000</v>
      </c>
      <c r="I6">
        <v>1334.5</v>
      </c>
      <c r="J6">
        <v>1413.7166941154069</v>
      </c>
      <c r="K6">
        <v>2073.4511513692632</v>
      </c>
      <c r="L6">
        <v>3141.5926535897929</v>
      </c>
      <c r="M6">
        <v>4995.1323192077707</v>
      </c>
    </row>
    <row r="7" spans="1:13">
      <c r="A7" t="s">
        <v>853</v>
      </c>
      <c r="B7">
        <v>350</v>
      </c>
      <c r="C7">
        <v>1550</v>
      </c>
      <c r="D7">
        <v>1543</v>
      </c>
      <c r="E7">
        <v>151</v>
      </c>
      <c r="F7">
        <v>1146</v>
      </c>
      <c r="G7">
        <v>84</v>
      </c>
      <c r="H7">
        <v>52.9</v>
      </c>
      <c r="I7">
        <v>824.76839119175781</v>
      </c>
      <c r="J7">
        <v>729</v>
      </c>
      <c r="K7">
        <v>330</v>
      </c>
      <c r="L7">
        <v>330</v>
      </c>
      <c r="M7">
        <v>600</v>
      </c>
    </row>
    <row r="8" spans="1:13">
      <c r="A8" t="s">
        <v>854</v>
      </c>
      <c r="B8">
        <v>7</v>
      </c>
      <c r="C8">
        <v>7</v>
      </c>
      <c r="D8">
        <v>7</v>
      </c>
      <c r="E8">
        <v>7</v>
      </c>
      <c r="F8">
        <v>7</v>
      </c>
      <c r="G8">
        <v>7</v>
      </c>
      <c r="H8">
        <v>7</v>
      </c>
      <c r="I8">
        <v>7</v>
      </c>
      <c r="J8">
        <v>7</v>
      </c>
      <c r="K8">
        <v>7</v>
      </c>
      <c r="L8">
        <v>10</v>
      </c>
      <c r="M8">
        <v>3</v>
      </c>
    </row>
    <row r="9" spans="1:13">
      <c r="A9" t="s">
        <v>702</v>
      </c>
      <c r="B9">
        <v>134919734524.17374</v>
      </c>
      <c r="C9">
        <v>140433045848.50153</v>
      </c>
      <c r="D9">
        <v>140371550962.4632</v>
      </c>
      <c r="E9">
        <v>133720357297.01117</v>
      </c>
      <c r="F9">
        <v>138866657550.26349</v>
      </c>
      <c r="G9">
        <v>133547571083.70769</v>
      </c>
      <c r="H9">
        <v>133728641673.87224</v>
      </c>
      <c r="I9">
        <v>137462842431.05151</v>
      </c>
      <c r="J9">
        <v>137002951216.409</v>
      </c>
      <c r="K9">
        <v>134882334888.2462</v>
      </c>
      <c r="L9">
        <v>389869721866.46631</v>
      </c>
      <c r="M9">
        <v>517108762668.91284</v>
      </c>
    </row>
    <row r="10" spans="1:13">
      <c r="A10" t="s">
        <v>855</v>
      </c>
      <c r="B10">
        <v>0.89004425712435742</v>
      </c>
      <c r="C10">
        <v>0.78008851424871439</v>
      </c>
      <c r="D10">
        <v>0.78008851424871439</v>
      </c>
      <c r="E10">
        <v>0.92669617141623817</v>
      </c>
      <c r="F10">
        <v>0.80810516077549255</v>
      </c>
      <c r="G10">
        <v>0.94502212856217849</v>
      </c>
      <c r="H10">
        <v>0.95601770284974286</v>
      </c>
      <c r="I10">
        <v>0.83521057643215779</v>
      </c>
      <c r="J10">
        <v>0.84444444444444444</v>
      </c>
      <c r="K10">
        <v>0.89393939393939392</v>
      </c>
      <c r="L10">
        <v>0.90000000000000013</v>
      </c>
      <c r="M10">
        <v>0.98113207547169812</v>
      </c>
    </row>
    <row r="11" spans="1:13">
      <c r="A11" t="s">
        <v>856</v>
      </c>
      <c r="B11">
        <v>1.6755575776860174</v>
      </c>
      <c r="C11">
        <v>2.3695962509005764</v>
      </c>
      <c r="D11">
        <v>2.3695962509005764</v>
      </c>
      <c r="E11">
        <v>1.3680870333281758</v>
      </c>
      <c r="F11">
        <v>2.2135128383998515</v>
      </c>
      <c r="G11">
        <v>1.1847981254502882</v>
      </c>
      <c r="H11">
        <v>1.0597156592484671</v>
      </c>
      <c r="I11">
        <v>2.0512333316332758</v>
      </c>
      <c r="J11">
        <v>1.9929351215680959</v>
      </c>
      <c r="K11">
        <v>1.6456120163206291</v>
      </c>
      <c r="L11">
        <v>1.3369015219719209</v>
      </c>
      <c r="M11">
        <v>1.0602318719488322</v>
      </c>
    </row>
    <row r="12" spans="1:13">
      <c r="A12" t="s">
        <v>868</v>
      </c>
      <c r="K12">
        <f>FLOOR(K6*K7/21920,1)</f>
        <v>31</v>
      </c>
      <c r="L12">
        <f>FLOOR(L6*L7/21920,1)</f>
        <v>47</v>
      </c>
      <c r="M12">
        <f>FLOOR(M6*M7/21920,1)</f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7A36E-F675-1441-A197-69A5DDF8AA03}">
  <dimension ref="A1:P213"/>
  <sheetViews>
    <sheetView zoomScale="99" workbookViewId="0">
      <selection activeCell="C6" sqref="C6"/>
    </sheetView>
  </sheetViews>
  <sheetFormatPr baseColWidth="10" defaultRowHeight="16"/>
  <cols>
    <col min="7" max="7" width="13.6640625" bestFit="1" customWidth="1"/>
    <col min="9" max="9" width="13.83203125" bestFit="1" customWidth="1"/>
    <col min="14" max="14" width="11.6640625" bestFit="1" customWidth="1"/>
  </cols>
  <sheetData>
    <row r="1" spans="1:15">
      <c r="A1" t="s">
        <v>649</v>
      </c>
      <c r="C1">
        <f>Habitat!E7</f>
        <v>3</v>
      </c>
      <c r="G1" s="88" t="s">
        <v>728</v>
      </c>
    </row>
    <row r="2" spans="1:15">
      <c r="A2" t="s">
        <v>645</v>
      </c>
      <c r="C2">
        <f>Habitat!B39</f>
        <v>0</v>
      </c>
      <c r="E2" s="88"/>
      <c r="F2" s="88"/>
      <c r="G2" s="88" t="s">
        <v>723</v>
      </c>
      <c r="H2" s="88"/>
      <c r="I2" s="88"/>
    </row>
    <row r="3" spans="1:15">
      <c r="A3" t="s">
        <v>646</v>
      </c>
      <c r="C3">
        <v>5</v>
      </c>
      <c r="D3">
        <f>C2-C3/2</f>
        <v>-2.5</v>
      </c>
      <c r="E3">
        <f>C2+C3/2</f>
        <v>2.5</v>
      </c>
      <c r="F3" s="88"/>
      <c r="G3" s="88" t="s">
        <v>724</v>
      </c>
      <c r="H3" s="88"/>
    </row>
    <row r="4" spans="1:15">
      <c r="A4" t="s">
        <v>648</v>
      </c>
      <c r="C4">
        <v>5</v>
      </c>
      <c r="F4" s="88"/>
      <c r="G4" s="88" t="s">
        <v>729</v>
      </c>
      <c r="H4" s="88"/>
    </row>
    <row r="5" spans="1:15">
      <c r="A5" t="s">
        <v>727</v>
      </c>
      <c r="C5" s="3">
        <f>Habitat!E50</f>
        <v>136</v>
      </c>
      <c r="F5" s="88"/>
      <c r="G5" s="88" t="s">
        <v>725</v>
      </c>
      <c r="H5" s="88"/>
    </row>
    <row r="6" spans="1:15">
      <c r="A6" t="s">
        <v>307</v>
      </c>
      <c r="C6" s="3">
        <f>Habitat!E3</f>
        <v>795</v>
      </c>
      <c r="F6" s="88"/>
      <c r="G6" s="88" t="s">
        <v>726</v>
      </c>
      <c r="H6" s="88"/>
    </row>
    <row r="7" spans="1:15">
      <c r="A7" t="s">
        <v>828</v>
      </c>
      <c r="C7" s="3">
        <f>C6-(C3*(C1+1))</f>
        <v>775</v>
      </c>
      <c r="F7" s="88">
        <f>E12*E12</f>
        <v>0</v>
      </c>
      <c r="G7" s="88">
        <f>Habitat!E20</f>
        <v>18496</v>
      </c>
      <c r="H7" s="88"/>
    </row>
    <row r="8" spans="1:15">
      <c r="A8" t="s">
        <v>691</v>
      </c>
      <c r="C8" s="3">
        <f>Habitat!E50</f>
        <v>136</v>
      </c>
      <c r="F8" s="88"/>
      <c r="G8" s="88"/>
      <c r="H8" s="88"/>
    </row>
    <row r="9" spans="1:15">
      <c r="A9" t="s">
        <v>829</v>
      </c>
      <c r="C9" s="3">
        <f>Habitat!E6</f>
        <v>600</v>
      </c>
      <c r="F9" s="88"/>
      <c r="G9" s="88"/>
      <c r="H9" s="88"/>
    </row>
    <row r="10" spans="1:15">
      <c r="A10" t="s">
        <v>269</v>
      </c>
      <c r="B10" t="s">
        <v>618</v>
      </c>
      <c r="C10" t="s">
        <v>535</v>
      </c>
      <c r="D10" t="s">
        <v>310</v>
      </c>
      <c r="E10" t="s">
        <v>314</v>
      </c>
      <c r="G10" t="s">
        <v>311</v>
      </c>
      <c r="I10" t="s">
        <v>181</v>
      </c>
      <c r="J10" t="s">
        <v>538</v>
      </c>
      <c r="K10" t="s">
        <v>619</v>
      </c>
      <c r="L10" t="s">
        <v>620</v>
      </c>
      <c r="M10" t="s">
        <v>621</v>
      </c>
      <c r="N10" t="s">
        <v>626</v>
      </c>
      <c r="O10" t="s">
        <v>648</v>
      </c>
    </row>
    <row r="11" spans="1:15">
      <c r="D11" s="48">
        <f>C7</f>
        <v>775</v>
      </c>
      <c r="E11" s="48"/>
      <c r="F11" s="3">
        <f>Habitat!$D$22^2*D11</f>
        <v>0.11776591115857758</v>
      </c>
      <c r="G11" s="3">
        <f>IF(H11,F11/9.8,0)</f>
        <v>1.2016929710058936E-2</v>
      </c>
      <c r="H11" s="3">
        <f>IF(D11&lt;$C$7,0,IF(D11&gt;$C$6,0,1))</f>
        <v>1</v>
      </c>
      <c r="I11" s="47">
        <f>PI()*D11*D11*$C$9*H11</f>
        <v>1132151452.5374217</v>
      </c>
    </row>
    <row r="12" spans="1:15">
      <c r="A12" s="5">
        <v>1</v>
      </c>
      <c r="B12" s="5">
        <f>FLOOR(($C$6-D12)/$C$3,1)+1</f>
        <v>4</v>
      </c>
      <c r="C12" s="5">
        <f>IF((B11-1)&gt;$C$1,3,IF((B11-1)&lt;1,3,IF(MOD((B11-1),3),1,2)))</f>
        <v>3</v>
      </c>
      <c r="D12" s="56">
        <f>D11+$C$3</f>
        <v>780</v>
      </c>
      <c r="E12" s="48">
        <v>0</v>
      </c>
      <c r="F12" s="7">
        <f>Habitat!$D$22*D12</f>
        <v>9.615094339622642</v>
      </c>
      <c r="G12" s="3">
        <f t="shared" ref="G12:G75" si="0">IF(H12,F12/9.8,0)</f>
        <v>0.98113207547169812</v>
      </c>
      <c r="H12" s="3">
        <f>IF(D12&lt;$C$7,0,IF(D12&gt;$C$6,0,1))</f>
        <v>1</v>
      </c>
      <c r="I12" s="47">
        <f>PI()*D12*D12*$C$9*H12</f>
        <v>1146806982.266418</v>
      </c>
      <c r="J12" s="48">
        <f>IF(C12=1,I12*Habitat!$I$36,0)+IF(C12=2,I12*Habitat!$J$36,0)+IF(C12=3,I12*Habitat!$K$36,0)+IF(C12=4,I12*Habitat!$L$36,0)+IF(C12=5,I12*Habitat!$M$36,0)</f>
        <v>0</v>
      </c>
      <c r="K12" s="48">
        <f>IF(C12=1,I12*Habitat!$I$35,0)+IF(C12=2,I12*Habitat!$J$35,0)+IF(C12=3,I12*Habitat!$K$35,0)+IF(C12=4,I12*Habitat!$L$35,0)+IF(C12=5,I12*Habitat!$M$35,0)</f>
        <v>0</v>
      </c>
      <c r="L12" s="48">
        <f>IF(C12=1,I12*Habitat!$I$34,0)+IF(C12=2,I12*Habitat!$J$34,0)+IF(C12=3,I12*Habitat!$K$34,0)+IF(C12=4,I12*Habitat!$L$34,0)+IF(C12=5,I12*Habitat!$M$34,0)+IF(C12=6,I12*Habitat!$N$34,0)</f>
        <v>0</v>
      </c>
      <c r="M12" s="48">
        <f>IF(C12=1,I12*Habitat!$I$37,0)+IF(C12=2,I12*Habitat!$J$37,0)+IF(C12=3,I12*Habitat!$K$37,0)+IF(C12=4,I12*Habitat!$L$37,0)+IF(C12=5,I12*Habitat!$M$37,0)</f>
        <v>45872279.290656723</v>
      </c>
      <c r="N12" s="48">
        <f>IF(C12=1,I12*Habitat!$I$38,0)+IF(C12=2,I12*Habitat!$J$38,0)+IF(C12=3,I12*Habitat!$K$38,0)+IF(C12=4,I12*Habitat!$L$38,0)+IF(C12=5,I12*Habitat!$M$38,0)*IF(C12=7,I12*Habitat!$O$38,0)</f>
        <v>0</v>
      </c>
      <c r="O12">
        <f>IF(C12=1,I12*Habitat!$I$39,0)+IF(C12=2,I12*Habitat!$J$39,0)+IF(C12=3,I12*Habitat!$K$39,0)+IF(C12=4,I12*Habitat!$L$39,0)+IF(C12=5,I12*Habitat!$M$39,0)</f>
        <v>1009190144.3944478</v>
      </c>
    </row>
    <row r="13" spans="1:15">
      <c r="A13" s="5">
        <f t="shared" ref="A13:A46" si="1">A12+1</f>
        <v>2</v>
      </c>
      <c r="B13" s="5">
        <f t="shared" ref="B13:B27" si="2">FLOOR(($C$6-D13)/$C$3,1)+1</f>
        <v>3</v>
      </c>
      <c r="C13" s="5">
        <f t="shared" ref="C13:C46" si="3">IF((B12-1)&gt;$C$1,3,IF((B12-1)&lt;1,3,IF(MOD((B12-1),3),1,2)))</f>
        <v>2</v>
      </c>
      <c r="D13" s="56">
        <f t="shared" ref="D13:D28" si="4">D12+$C$3</f>
        <v>785</v>
      </c>
      <c r="E13" s="48">
        <f>IF(D13&lt;=$C$7,D12-$C$7,D13-$C$7)</f>
        <v>10</v>
      </c>
      <c r="F13" s="7">
        <f>Habitat!$D$22*D13</f>
        <v>9.6767295597484271</v>
      </c>
      <c r="G13" s="3">
        <f t="shared" si="0"/>
        <v>0.98742138364779863</v>
      </c>
      <c r="H13" s="3">
        <f>IF(D13&lt;$C$7,0,IF(D13&gt;$C$6,0,1))</f>
        <v>1</v>
      </c>
      <c r="I13" s="47">
        <f>PI()*D13*D13*$C$9*H13</f>
        <v>1161556759.7750223</v>
      </c>
      <c r="J13" s="48">
        <f>IF(C13=1,I13*Habitat!$I$36,0)+IF(C13=2,I13*Habitat!$J$36,0)+IF(C13=3,I13*Habitat!$K$36,0)+IF(C13=4,I13*Habitat!$L$36,0)+IF(C13=5,I13*Habitat!$M$36,0)</f>
        <v>514980296.62855428</v>
      </c>
      <c r="K13" s="48">
        <f>IF(C13=1,I13*Habitat!$I$35,0)+IF(C13=2,I13*Habitat!$J$35,0)+IF(C13=3,I13*Habitat!$K$35,0)+IF(C13=4,I13*Habitat!$L$35,0)+IF(C13=5,I13*Habitat!$M$35,0)</f>
        <v>307459261.26732761</v>
      </c>
      <c r="L13" s="48">
        <f>IF(C13=1,I13*Habitat!$I$34,0)+IF(C13=2,I13*Habitat!$J$34,0)+IF(C13=3,I13*Habitat!$K$34,0)+IF(C13=4,I13*Habitat!$L$34,0)+IF(C13=5,I13*Habitat!$M$34,0)+IF(C13=6,I13*Habitat!$N$34,0)</f>
        <v>65486499.228849575</v>
      </c>
      <c r="M13" s="48">
        <f>IF(C13=1,I13*Habitat!$I$37,0)+IF(C13=2,I13*Habitat!$J$37,0)+IF(C13=3,I13*Habitat!$K$37,0)+IF(C13=4,I13*Habitat!$L$37,0)+IF(C13=5,I13*Habitat!$M$37,0)</f>
        <v>1565466.842875402</v>
      </c>
      <c r="N13" s="48">
        <f>IF(C13=1,I13*Habitat!$I$38,0)+IF(C13=2,I13*Habitat!$J$38,0)+IF(C13=3,I13*Habitat!$K$38,0)+IF(C13=4,I13*Habitat!$L$38,0)+IF(C13=5,I13*Habitat!$M$38,0)*IF(C13=7,I13*Habitat!$O$38,0)</f>
        <v>101137914.89056829</v>
      </c>
      <c r="O13">
        <f>IF(C13=1,I13*Habitat!$I$39,0)+IF(C13=2,I13*Habitat!$J$39,0)+IF(C13=3,I13*Habitat!$K$39,0)+IF(C13=4,I13*Habitat!$L$39,0)+IF(C13=5,I13*Habitat!$M$39,0)</f>
        <v>116155675.97750223</v>
      </c>
    </row>
    <row r="14" spans="1:15">
      <c r="A14" s="5">
        <f t="shared" si="1"/>
        <v>3</v>
      </c>
      <c r="B14" s="5">
        <f t="shared" ref="B14:B46" si="5">FLOOR(($C$6-D14)/$C$3,1)+1</f>
        <v>2</v>
      </c>
      <c r="C14" s="5">
        <f t="shared" si="3"/>
        <v>1</v>
      </c>
      <c r="D14" s="56">
        <f t="shared" ref="D14:D46" si="6">D13+$C$3</f>
        <v>790</v>
      </c>
      <c r="E14" s="48">
        <f t="shared" ref="E14:E46" si="7">IF(D14&lt;=$C$7,D13-$C$7,D14-$C$7)</f>
        <v>15</v>
      </c>
      <c r="F14" s="7">
        <f>Habitat!$D$22*D14</f>
        <v>9.7383647798742139</v>
      </c>
      <c r="G14" s="3">
        <f t="shared" si="0"/>
        <v>0.99371069182389926</v>
      </c>
      <c r="H14" s="3">
        <f t="shared" ref="H14:H46" si="8">IF(D14&lt;$C$7,0,IF(D14&gt;$C$6,0,1))</f>
        <v>1</v>
      </c>
      <c r="I14" s="47">
        <f t="shared" ref="I14:I46" si="9">PI()*D14*D14*$C$9*H14</f>
        <v>1176400785.0632339</v>
      </c>
      <c r="J14" s="48">
        <f>IF(C14=1,I14*Habitat!$I$36,0)+IF(C14=2,I14*Habitat!$J$36,0)+IF(C14=3,I14*Habitat!$K$36,0)+IF(C14=4,I14*Habitat!$L$36,0)+IF(C14=5,I14*Habitat!$M$36,0)</f>
        <v>521561447.72750318</v>
      </c>
      <c r="K14" s="48">
        <f>IF(C14=1,I14*Habitat!$I$35,0)+IF(C14=2,I14*Habitat!$J$35,0)+IF(C14=3,I14*Habitat!$K$35,0)+IF(C14=4,I14*Habitat!$L$35,0)+IF(C14=5,I14*Habitat!$M$35,0)</f>
        <v>311388413.25317723</v>
      </c>
      <c r="L14" s="48">
        <f>IF(C14=1,I14*Habitat!$I$34,0)+IF(C14=2,I14*Habitat!$J$34,0)+IF(C14=3,I14*Habitat!$K$34,0)+IF(C14=4,I14*Habitat!$L$34,0)+IF(C14=5,I14*Habitat!$M$34,0)+IF(C14=6,I14*Habitat!$N$34,0)</f>
        <v>66323378.909854375</v>
      </c>
      <c r="M14" s="48">
        <f>IF(C14=1,I14*Habitat!$I$37,0)+IF(C14=2,I14*Habitat!$J$37,0)+IF(C14=3,I14*Habitat!$K$37,0)+IF(C14=4,I14*Habitat!$L$37,0)+IF(C14=5,I14*Habitat!$M$37,0)</f>
        <v>1585472.6060100421</v>
      </c>
      <c r="N14" s="48">
        <f>IF(C14=1,I14*Habitat!$I$38,0)+IF(C14=2,I14*Habitat!$J$38,0)+IF(C14=3,I14*Habitat!$K$38,0)+IF(C14=4,I14*Habitat!$L$38,0)+IF(C14=5,I14*Habitat!$M$38,0)*IF(C14=7,I14*Habitat!$O$38,0)</f>
        <v>102430399.09643987</v>
      </c>
      <c r="O14">
        <f>IF(C14=1,I14*Habitat!$I$39,0)+IF(C14=2,I14*Habitat!$J$39,0)+IF(C14=3,I14*Habitat!$K$39,0)+IF(C14=4,I14*Habitat!$L$39,0)+IF(C14=5,I14*Habitat!$M$39,0)</f>
        <v>117640078.5063234</v>
      </c>
    </row>
    <row r="15" spans="1:15">
      <c r="A15" s="5">
        <f t="shared" si="1"/>
        <v>4</v>
      </c>
      <c r="B15" s="5">
        <f t="shared" si="5"/>
        <v>1</v>
      </c>
      <c r="C15" s="5">
        <f t="shared" si="3"/>
        <v>1</v>
      </c>
      <c r="D15" s="56">
        <f t="shared" si="6"/>
        <v>795</v>
      </c>
      <c r="E15" s="48">
        <f t="shared" si="7"/>
        <v>20</v>
      </c>
      <c r="F15" s="7">
        <f>Habitat!$D$22*D15</f>
        <v>9.8000000000000007</v>
      </c>
      <c r="G15" s="3">
        <f t="shared" si="0"/>
        <v>1</v>
      </c>
      <c r="H15" s="3">
        <f t="shared" si="8"/>
        <v>1</v>
      </c>
      <c r="I15" s="47">
        <f t="shared" si="9"/>
        <v>1191339058.1310532</v>
      </c>
      <c r="J15" s="48">
        <f>IF(C15=1,I15*Habitat!$I$36,0)+IF(C15=2,I15*Habitat!$J$36,0)+IF(C15=3,I15*Habitat!$K$36,0)+IF(C15=4,I15*Habitat!$L$36,0)+IF(C15=5,I15*Habitat!$M$36,0)</f>
        <v>528184383.91279471</v>
      </c>
      <c r="K15" s="48">
        <f>IF(C15=1,I15*Habitat!$I$35,0)+IF(C15=2,I15*Habitat!$J$35,0)+IF(C15=3,I15*Habitat!$K$35,0)+IF(C15=4,I15*Habitat!$L$35,0)+IF(C15=5,I15*Habitat!$M$35,0)</f>
        <v>315342512.23576236</v>
      </c>
      <c r="L15" s="48">
        <f>IF(C15=1,I15*Habitat!$I$34,0)+IF(C15=2,I15*Habitat!$J$34,0)+IF(C15=3,I15*Habitat!$K$34,0)+IF(C15=4,I15*Habitat!$L$34,0)+IF(C15=5,I15*Habitat!$M$34,0)+IF(C15=6,I15*Habitat!$N$34,0)</f>
        <v>67165572.112643346</v>
      </c>
      <c r="M15" s="48">
        <f>IF(C15=1,I15*Habitat!$I$37,0)+IF(C15=2,I15*Habitat!$J$37,0)+IF(C15=3,I15*Habitat!$K$37,0)+IF(C15=4,I15*Habitat!$L$37,0)+IF(C15=5,I15*Habitat!$M$37,0)</f>
        <v>1605605.3898629977</v>
      </c>
      <c r="N15" s="48">
        <f>IF(C15=1,I15*Habitat!$I$38,0)+IF(C15=2,I15*Habitat!$J$38,0)+IF(C15=3,I15*Habitat!$K$38,0)+IF(C15=4,I15*Habitat!$L$38,0)+IF(C15=5,I15*Habitat!$M$38,0)*IF(C15=7,I15*Habitat!$O$38,0)</f>
        <v>103731089.55123763</v>
      </c>
      <c r="O15">
        <f>IF(C15=1,I15*Habitat!$I$39,0)+IF(C15=2,I15*Habitat!$J$39,0)+IF(C15=3,I15*Habitat!$K$39,0)+IF(C15=4,I15*Habitat!$L$39,0)+IF(C15=5,I15*Habitat!$M$39,0)</f>
        <v>119133905.81310533</v>
      </c>
    </row>
    <row r="16" spans="1:15">
      <c r="A16" s="5">
        <f t="shared" si="1"/>
        <v>5</v>
      </c>
      <c r="B16" s="5">
        <f t="shared" si="5"/>
        <v>0</v>
      </c>
      <c r="C16" s="5">
        <f t="shared" si="3"/>
        <v>3</v>
      </c>
      <c r="D16" s="56">
        <f t="shared" si="6"/>
        <v>800</v>
      </c>
      <c r="E16" s="48">
        <f t="shared" si="7"/>
        <v>25</v>
      </c>
      <c r="F16" s="7">
        <f>Habitat!$D$22*D16</f>
        <v>9.8616352201257858</v>
      </c>
      <c r="G16" s="3">
        <f t="shared" si="0"/>
        <v>0</v>
      </c>
      <c r="H16" s="3">
        <f t="shared" si="8"/>
        <v>0</v>
      </c>
      <c r="I16" s="47">
        <f t="shared" si="9"/>
        <v>0</v>
      </c>
      <c r="J16" s="48">
        <f>IF(C16=1,I16*Habitat!$I$36,0)+IF(C16=2,I16*Habitat!$J$36,0)+IF(C16=3,I16*Habitat!$K$36,0)+IF(C16=4,I16*Habitat!$L$36,0)+IF(C16=5,I16*Habitat!$M$36,0)</f>
        <v>0</v>
      </c>
      <c r="K16" s="48">
        <f>IF(C16=1,I16*Habitat!$I$35,0)+IF(C16=2,I16*Habitat!$J$35,0)+IF(C16=3,I16*Habitat!$K$35,0)+IF(C16=4,I16*Habitat!$L$35,0)+IF(C16=5,I16*Habitat!$M$35,0)</f>
        <v>0</v>
      </c>
      <c r="L16" s="48">
        <f>IF(C16=1,I16*Habitat!$I$34,0)+IF(C16=2,I16*Habitat!$J$34,0)+IF(C16=3,I16*Habitat!$K$34,0)+IF(C16=4,I16*Habitat!$L$34,0)+IF(C16=5,I16*Habitat!$M$34,0)+IF(C16=6,I16*Habitat!$N$34,0)</f>
        <v>0</v>
      </c>
      <c r="M16" s="48">
        <f>IF(C16=1,I16*Habitat!$I$37,0)+IF(C16=2,I16*Habitat!$J$37,0)+IF(C16=3,I16*Habitat!$K$37,0)+IF(C16=4,I16*Habitat!$L$37,0)+IF(C16=5,I16*Habitat!$M$37,0)</f>
        <v>0</v>
      </c>
      <c r="N16" s="48">
        <f>IF(C16=1,I16*Habitat!$I$38,0)+IF(C16=2,I16*Habitat!$J$38,0)+IF(C16=3,I16*Habitat!$K$38,0)+IF(C16=4,I16*Habitat!$L$38,0)+IF(C16=5,I16*Habitat!$M$38,0)*IF(C16=7,I16*Habitat!$O$38,0)</f>
        <v>0</v>
      </c>
      <c r="O16">
        <f>IF(C16=1,I16*Habitat!$I$39,0)+IF(C16=2,I16*Habitat!$J$39,0)+IF(C16=3,I16*Habitat!$K$39,0)+IF(C16=4,I16*Habitat!$L$39,0)+IF(C16=5,I16*Habitat!$M$39,0)</f>
        <v>0</v>
      </c>
    </row>
    <row r="17" spans="1:16">
      <c r="A17" s="5">
        <f t="shared" si="1"/>
        <v>6</v>
      </c>
      <c r="B17" s="5">
        <f t="shared" si="5"/>
        <v>-1</v>
      </c>
      <c r="C17" s="5">
        <f t="shared" si="3"/>
        <v>3</v>
      </c>
      <c r="D17" s="56">
        <f t="shared" si="6"/>
        <v>805</v>
      </c>
      <c r="E17" s="48">
        <f t="shared" si="7"/>
        <v>30</v>
      </c>
      <c r="F17" s="7">
        <f>Habitat!$D$22*D17</f>
        <v>9.9232704402515726</v>
      </c>
      <c r="G17" s="3">
        <f t="shared" si="0"/>
        <v>0</v>
      </c>
      <c r="H17" s="3">
        <f t="shared" si="8"/>
        <v>0</v>
      </c>
      <c r="I17" s="47">
        <f t="shared" si="9"/>
        <v>0</v>
      </c>
      <c r="J17" s="48">
        <f>IF(C17=1,I17*Habitat!$I$36,0)+IF(C17=2,I17*Habitat!$J$36,0)+IF(C17=3,I17*Habitat!$K$36,0)+IF(C17=4,I17*Habitat!$L$36,0)+IF(C17=5,I17*Habitat!$M$36,0)</f>
        <v>0</v>
      </c>
      <c r="K17" s="48">
        <f>IF(C17=1,I17*Habitat!$I$35,0)+IF(C17=2,I17*Habitat!$J$35,0)+IF(C17=3,I17*Habitat!$K$35,0)+IF(C17=4,I17*Habitat!$L$35,0)+IF(C17=5,I17*Habitat!$M$35,0)</f>
        <v>0</v>
      </c>
      <c r="L17" s="48">
        <f>IF(C17=1,I17*Habitat!$I$34,0)+IF(C17=2,I17*Habitat!$J$34,0)+IF(C17=3,I17*Habitat!$K$34,0)+IF(C17=4,I17*Habitat!$L$34,0)+IF(C17=5,I17*Habitat!$M$34,0)+IF(C17=6,I17*Habitat!$N$34,0)</f>
        <v>0</v>
      </c>
      <c r="M17" s="48">
        <f>IF(C17=1,I17*Habitat!$I$37,0)+IF(C17=2,I17*Habitat!$J$37,0)+IF(C17=3,I17*Habitat!$K$37,0)+IF(C17=4,I17*Habitat!$L$37,0)+IF(C17=5,I17*Habitat!$M$37,0)</f>
        <v>0</v>
      </c>
      <c r="N17" s="48">
        <f>IF(C17=1,I17*Habitat!$I$38,0)+IF(C17=2,I17*Habitat!$J$38,0)+IF(C17=3,I17*Habitat!$K$38,0)+IF(C17=4,I17*Habitat!$L$38,0)+IF(C17=5,I17*Habitat!$M$38,0)*IF(C17=7,I17*Habitat!$O$38,0)</f>
        <v>0</v>
      </c>
      <c r="O17">
        <f>IF(C17=1,I17*Habitat!$I$39,0)+IF(C17=2,I17*Habitat!$J$39,0)+IF(C17=3,I17*Habitat!$K$39,0)+IF(C17=4,I17*Habitat!$L$39,0)+IF(C17=5,I17*Habitat!$M$39,0)</f>
        <v>0</v>
      </c>
    </row>
    <row r="18" spans="1:16">
      <c r="A18" s="5">
        <f t="shared" si="1"/>
        <v>7</v>
      </c>
      <c r="B18" s="5">
        <f t="shared" si="5"/>
        <v>-2</v>
      </c>
      <c r="C18" s="5">
        <f t="shared" si="3"/>
        <v>3</v>
      </c>
      <c r="D18" s="56">
        <f t="shared" si="6"/>
        <v>810</v>
      </c>
      <c r="E18" s="48">
        <f t="shared" si="7"/>
        <v>35</v>
      </c>
      <c r="F18" s="7">
        <f>Habitat!$D$22*D18</f>
        <v>9.9849056603773594</v>
      </c>
      <c r="G18" s="3">
        <f t="shared" si="0"/>
        <v>0</v>
      </c>
      <c r="H18" s="3">
        <f t="shared" si="8"/>
        <v>0</v>
      </c>
      <c r="I18" s="47">
        <f t="shared" si="9"/>
        <v>0</v>
      </c>
      <c r="J18" s="48">
        <f>IF(C18=1,I18*Habitat!$I$36,0)+IF(C18=2,I18*Habitat!$J$36,0)+IF(C18=3,I18*Habitat!$K$36,0)+IF(C18=4,I18*Habitat!$L$36,0)+IF(C18=5,I18*Habitat!$M$36,0)</f>
        <v>0</v>
      </c>
      <c r="K18" s="48">
        <f>IF(C18=1,I18*Habitat!$I$35,0)+IF(C18=2,I18*Habitat!$J$35,0)+IF(C18=3,I18*Habitat!$K$35,0)+IF(C18=4,I18*Habitat!$L$35,0)+IF(C18=5,I18*Habitat!$M$35,0)</f>
        <v>0</v>
      </c>
      <c r="L18" s="48">
        <f>IF(C18=1,I18*Habitat!$I$34,0)+IF(C18=2,I18*Habitat!$J$34,0)+IF(C18=3,I18*Habitat!$K$34,0)+IF(C18=4,I18*Habitat!$L$34,0)+IF(C18=5,I18*Habitat!$M$34,0)+IF(C18=6,I18*Habitat!$N$34,0)</f>
        <v>0</v>
      </c>
      <c r="M18" s="48">
        <f>IF(C18=1,I18*Habitat!$I$37,0)+IF(C18=2,I18*Habitat!$J$37,0)+IF(C18=3,I18*Habitat!$K$37,0)+IF(C18=4,I18*Habitat!$L$37,0)+IF(C18=5,I18*Habitat!$M$37,0)</f>
        <v>0</v>
      </c>
      <c r="N18" s="48">
        <f>IF(C18=1,I18*Habitat!$I$38,0)+IF(C18=2,I18*Habitat!$J$38,0)+IF(C18=3,I18*Habitat!$K$38,0)+IF(C18=4,I18*Habitat!$L$38,0)+IF(C18=5,I18*Habitat!$M$38,0)*IF(C18=7,I18*Habitat!$O$38,0)</f>
        <v>0</v>
      </c>
      <c r="O18">
        <f>IF(C18=1,I18*Habitat!$I$39,0)+IF(C18=2,I18*Habitat!$J$39,0)+IF(C18=3,I18*Habitat!$K$39,0)+IF(C18=4,I18*Habitat!$L$39,0)+IF(C18=5,I18*Habitat!$M$39,0)</f>
        <v>0</v>
      </c>
    </row>
    <row r="19" spans="1:16">
      <c r="A19" s="5">
        <f t="shared" si="1"/>
        <v>8</v>
      </c>
      <c r="B19" s="5">
        <f t="shared" si="5"/>
        <v>-3</v>
      </c>
      <c r="C19" s="5">
        <f t="shared" si="3"/>
        <v>3</v>
      </c>
      <c r="D19" s="56">
        <f t="shared" si="6"/>
        <v>815</v>
      </c>
      <c r="E19" s="48">
        <f t="shared" si="7"/>
        <v>40</v>
      </c>
      <c r="F19" s="7">
        <f>Habitat!$D$22*D19</f>
        <v>10.046540880503144</v>
      </c>
      <c r="G19" s="3">
        <f t="shared" si="0"/>
        <v>0</v>
      </c>
      <c r="H19" s="3">
        <f t="shared" si="8"/>
        <v>0</v>
      </c>
      <c r="I19" s="47">
        <f t="shared" si="9"/>
        <v>0</v>
      </c>
      <c r="J19" s="48">
        <f>IF(C19=1,I19*Habitat!$I$36,0)+IF(C19=2,I19*Habitat!$J$36,0)+IF(C19=3,I19*Habitat!$K$36,0)+IF(C19=4,I19*Habitat!$L$36,0)+IF(C19=5,I19*Habitat!$M$36,0)</f>
        <v>0</v>
      </c>
      <c r="K19" s="48">
        <f>IF(C19=1,I19*Habitat!$I$35,0)+IF(C19=2,I19*Habitat!$J$35,0)+IF(C19=3,I19*Habitat!$K$35,0)+IF(C19=4,I19*Habitat!$L$35,0)+IF(C19=5,I19*Habitat!$M$35,0)</f>
        <v>0</v>
      </c>
      <c r="L19" s="48">
        <f>IF(C19=1,I19*Habitat!$I$34,0)+IF(C19=2,I19*Habitat!$J$34,0)+IF(C19=3,I19*Habitat!$K$34,0)+IF(C19=4,I19*Habitat!$L$34,0)+IF(C19=5,I19*Habitat!$M$34,0)+IF(C19=6,I19*Habitat!$N$34,0)</f>
        <v>0</v>
      </c>
      <c r="M19" s="48">
        <f>IF(C19=1,I19*Habitat!$I$37,0)+IF(C19=2,I19*Habitat!$J$37,0)+IF(C19=3,I19*Habitat!$K$37,0)+IF(C19=4,I19*Habitat!$L$37,0)+IF(C19=5,I19*Habitat!$M$37,0)</f>
        <v>0</v>
      </c>
      <c r="N19" s="48">
        <f>IF(C19=1,I19*Habitat!$I$38,0)+IF(C19=2,I19*Habitat!$J$38,0)+IF(C19=3,I19*Habitat!$K$38,0)+IF(C19=4,I19*Habitat!$L$38,0)+IF(C19=5,I19*Habitat!$M$38,0)*IF(C19=7,I19*Habitat!$O$38,0)</f>
        <v>0</v>
      </c>
      <c r="O19">
        <f>IF(C19=1,I19*Habitat!$I$39,0)+IF(C19=2,I19*Habitat!$J$39,0)+IF(C19=3,I19*Habitat!$K$39,0)+IF(C19=4,I19*Habitat!$L$39,0)+IF(C19=5,I19*Habitat!$M$39,0)</f>
        <v>0</v>
      </c>
    </row>
    <row r="20" spans="1:16">
      <c r="A20" s="5">
        <f t="shared" si="1"/>
        <v>9</v>
      </c>
      <c r="B20" s="5">
        <f t="shared" si="5"/>
        <v>-4</v>
      </c>
      <c r="C20" s="5">
        <f t="shared" si="3"/>
        <v>3</v>
      </c>
      <c r="D20" s="56">
        <f t="shared" si="6"/>
        <v>820</v>
      </c>
      <c r="E20" s="48">
        <f t="shared" si="7"/>
        <v>45</v>
      </c>
      <c r="F20" s="7">
        <f>Habitat!$D$22*D20</f>
        <v>10.108176100628931</v>
      </c>
      <c r="G20" s="3">
        <f t="shared" si="0"/>
        <v>0</v>
      </c>
      <c r="H20" s="3">
        <f t="shared" si="8"/>
        <v>0</v>
      </c>
      <c r="I20" s="47">
        <f t="shared" si="9"/>
        <v>0</v>
      </c>
      <c r="J20" s="48">
        <f>IF(C20=1,I20*Habitat!$I$36,0)+IF(C20=2,I20*Habitat!$J$36,0)+IF(C20=3,I20*Habitat!$K$36,0)+IF(C20=4,I20*Habitat!$L$36,0)+IF(C20=5,I20*Habitat!$M$36,0)</f>
        <v>0</v>
      </c>
      <c r="K20" s="48">
        <f>IF(C20=1,I20*Habitat!$I$35,0)+IF(C20=2,I20*Habitat!$J$35,0)+IF(C20=3,I20*Habitat!$K$35,0)+IF(C20=4,I20*Habitat!$L$35,0)+IF(C20=5,I20*Habitat!$M$35,0)</f>
        <v>0</v>
      </c>
      <c r="L20" s="48">
        <f>IF(C20=1,I20*Habitat!$I$34,0)+IF(C20=2,I20*Habitat!$J$34,0)+IF(C20=3,I20*Habitat!$K$34,0)+IF(C20=4,I20*Habitat!$L$34,0)+IF(C20=5,I20*Habitat!$M$34,0)+IF(C20=6,I20*Habitat!$N$34,0)</f>
        <v>0</v>
      </c>
      <c r="M20" s="48">
        <f>IF(C20=1,I20*Habitat!$I$37,0)+IF(C20=2,I20*Habitat!$J$37,0)+IF(C20=3,I20*Habitat!$K$37,0)+IF(C20=4,I20*Habitat!$L$37,0)+IF(C20=5,I20*Habitat!$M$37,0)</f>
        <v>0</v>
      </c>
      <c r="N20" s="48">
        <f>IF(C20=1,I20*Habitat!$I$38,0)+IF(C20=2,I20*Habitat!$J$38,0)+IF(C20=3,I20*Habitat!$K$38,0)+IF(C20=4,I20*Habitat!$L$38,0)+IF(C20=5,I20*Habitat!$M$38,0)*IF(C20=7,I20*Habitat!$O$38,0)</f>
        <v>0</v>
      </c>
      <c r="O20">
        <f>IF(C20=1,I20*Habitat!$I$39,0)+IF(C20=2,I20*Habitat!$J$39,0)+IF(C20=3,I20*Habitat!$K$39,0)+IF(C20=4,I20*Habitat!$L$39,0)+IF(C20=5,I20*Habitat!$M$39,0)</f>
        <v>0</v>
      </c>
    </row>
    <row r="21" spans="1:16">
      <c r="A21" s="5">
        <f t="shared" si="1"/>
        <v>10</v>
      </c>
      <c r="B21" s="5">
        <f t="shared" si="5"/>
        <v>-5</v>
      </c>
      <c r="C21" s="5">
        <f t="shared" si="3"/>
        <v>3</v>
      </c>
      <c r="D21" s="56">
        <f t="shared" si="6"/>
        <v>825</v>
      </c>
      <c r="E21" s="48">
        <f t="shared" si="7"/>
        <v>50</v>
      </c>
      <c r="F21" s="7">
        <f>Habitat!$D$22*D21</f>
        <v>10.169811320754716</v>
      </c>
      <c r="G21" s="3">
        <f t="shared" si="0"/>
        <v>0</v>
      </c>
      <c r="H21" s="3">
        <f t="shared" si="8"/>
        <v>0</v>
      </c>
      <c r="I21" s="47">
        <f t="shared" si="9"/>
        <v>0</v>
      </c>
      <c r="J21" s="48">
        <f>IF(C21=1,I21*Habitat!$I$36,0)+IF(C21=2,I21*Habitat!$J$36,0)+IF(C21=3,I21*Habitat!$K$36,0)+IF(C21=4,I21*Habitat!$L$36,0)+IF(C21=5,I21*Habitat!$M$36,0)</f>
        <v>0</v>
      </c>
      <c r="K21" s="48">
        <f>IF(C21=1,I21*Habitat!$I$35,0)+IF(C21=2,I21*Habitat!$J$35,0)+IF(C21=3,I21*Habitat!$K$35,0)+IF(C21=4,I21*Habitat!$L$35,0)+IF(C21=5,I21*Habitat!$M$35,0)</f>
        <v>0</v>
      </c>
      <c r="L21" s="48">
        <f>IF(C21=1,I21*Habitat!$I$34,0)+IF(C21=2,I21*Habitat!$J$34,0)+IF(C21=3,I21*Habitat!$K$34,0)+IF(C21=4,I21*Habitat!$L$34,0)+IF(C21=5,I21*Habitat!$M$34,0)+IF(C21=6,I21*Habitat!$N$34,0)</f>
        <v>0</v>
      </c>
      <c r="M21" s="48">
        <f>IF(C21=1,I21*Habitat!$I$37,0)+IF(C21=2,I21*Habitat!$J$37,0)+IF(C21=3,I21*Habitat!$K$37,0)+IF(C21=4,I21*Habitat!$L$37,0)+IF(C21=5,I21*Habitat!$M$37,0)</f>
        <v>0</v>
      </c>
      <c r="N21" s="48">
        <f>IF(C21=1,I21*Habitat!$I$38,0)+IF(C21=2,I21*Habitat!$J$38,0)+IF(C21=3,I21*Habitat!$K$38,0)+IF(C21=4,I21*Habitat!$L$38,0)+IF(C21=5,I21*Habitat!$M$38,0)*IF(C21=7,I21*Habitat!$O$38,0)</f>
        <v>0</v>
      </c>
      <c r="O21">
        <f>IF(C21=1,I21*Habitat!$I$39,0)+IF(C21=2,I21*Habitat!$J$39,0)+IF(C21=3,I21*Habitat!$K$39,0)+IF(C21=4,I21*Habitat!$L$39,0)+IF(C21=5,I21*Habitat!$M$39,0)</f>
        <v>0</v>
      </c>
    </row>
    <row r="22" spans="1:16">
      <c r="A22" s="5">
        <f t="shared" si="1"/>
        <v>11</v>
      </c>
      <c r="B22" s="5">
        <f t="shared" si="5"/>
        <v>-6</v>
      </c>
      <c r="C22" s="5">
        <f t="shared" si="3"/>
        <v>3</v>
      </c>
      <c r="D22" s="56">
        <f t="shared" si="6"/>
        <v>830</v>
      </c>
      <c r="E22" s="48">
        <f t="shared" si="7"/>
        <v>55</v>
      </c>
      <c r="F22" s="7">
        <f>Habitat!$D$22*D22</f>
        <v>10.231446540880503</v>
      </c>
      <c r="G22" s="3">
        <f t="shared" si="0"/>
        <v>0</v>
      </c>
      <c r="H22" s="3">
        <f t="shared" si="8"/>
        <v>0</v>
      </c>
      <c r="I22" s="47">
        <f t="shared" si="9"/>
        <v>0</v>
      </c>
      <c r="J22" s="48">
        <f>IF(C22=1,I22*Habitat!$I$36,0)+IF(C22=2,I22*Habitat!$J$36,0)+IF(C22=3,I22*Habitat!$K$36,0)+IF(C22=4,I22*Habitat!$L$36,0)+IF(C22=5,I22*Habitat!$M$36,0)</f>
        <v>0</v>
      </c>
      <c r="K22" s="48">
        <f>IF(C22=1,I22*Habitat!$I$35,0)+IF(C22=2,I22*Habitat!$J$35,0)+IF(C22=3,I22*Habitat!$K$35,0)+IF(C22=4,I22*Habitat!$L$35,0)+IF(C22=5,I22*Habitat!$M$35,0)</f>
        <v>0</v>
      </c>
      <c r="L22" s="48">
        <f>IF(C22=1,I22*Habitat!$I$34,0)+IF(C22=2,I22*Habitat!$J$34,0)+IF(C22=3,I22*Habitat!$K$34,0)+IF(C22=4,I22*Habitat!$L$34,0)+IF(C22=5,I22*Habitat!$M$34,0)+IF(C22=6,I22*Habitat!$N$34,0)</f>
        <v>0</v>
      </c>
      <c r="M22" s="48">
        <f>IF(C22=1,I22*Habitat!$I$37,0)+IF(C22=2,I22*Habitat!$J$37,0)+IF(C22=3,I22*Habitat!$K$37,0)+IF(C22=4,I22*Habitat!$L$37,0)+IF(C22=5,I22*Habitat!$M$37,0)</f>
        <v>0</v>
      </c>
      <c r="N22" s="48">
        <f>IF(C22=1,I22*Habitat!$I$38,0)+IF(C22=2,I22*Habitat!$J$38,0)+IF(C22=3,I22*Habitat!$K$38,0)+IF(C22=4,I22*Habitat!$L$38,0)+IF(C22=5,I22*Habitat!$M$38,0)*IF(C22=7,I22*Habitat!$O$38,0)</f>
        <v>0</v>
      </c>
      <c r="O22">
        <f>IF(C22=1,I22*Habitat!$I$39,0)+IF(C22=2,I22*Habitat!$J$39,0)+IF(C22=3,I22*Habitat!$K$39,0)+IF(C22=4,I22*Habitat!$L$39,0)+IF(C22=5,I22*Habitat!$M$39,0)</f>
        <v>0</v>
      </c>
    </row>
    <row r="23" spans="1:16">
      <c r="A23" s="5">
        <f t="shared" si="1"/>
        <v>12</v>
      </c>
      <c r="B23" s="5">
        <f t="shared" si="5"/>
        <v>-7</v>
      </c>
      <c r="C23" s="5">
        <f t="shared" si="3"/>
        <v>3</v>
      </c>
      <c r="D23" s="56">
        <f t="shared" si="6"/>
        <v>835</v>
      </c>
      <c r="E23" s="48">
        <f t="shared" si="7"/>
        <v>60</v>
      </c>
      <c r="F23" s="7">
        <f>Habitat!$D$22*D23</f>
        <v>10.29308176100629</v>
      </c>
      <c r="G23" s="3">
        <f t="shared" si="0"/>
        <v>0</v>
      </c>
      <c r="H23" s="3">
        <f t="shared" si="8"/>
        <v>0</v>
      </c>
      <c r="I23" s="47">
        <f t="shared" si="9"/>
        <v>0</v>
      </c>
      <c r="J23" s="48">
        <f>IF(C23=1,I23*Habitat!$I$36,0)+IF(C23=2,I23*Habitat!$J$36,0)+IF(C23=3,I23*Habitat!$K$36,0)+IF(C23=4,I23*Habitat!$L$36,0)+IF(C23=5,I23*Habitat!$M$36,0)</f>
        <v>0</v>
      </c>
      <c r="K23" s="48">
        <f>IF(C23=1,I23*Habitat!$I$35,0)+IF(C23=2,I23*Habitat!$J$35,0)+IF(C23=3,I23*Habitat!$K$35,0)+IF(C23=4,I23*Habitat!$L$35,0)+IF(C23=5,I23*Habitat!$M$35,0)</f>
        <v>0</v>
      </c>
      <c r="L23" s="48">
        <f>IF(C23=1,I23*Habitat!$I$34,0)+IF(C23=2,I23*Habitat!$J$34,0)+IF(C23=3,I23*Habitat!$K$34,0)+IF(C23=4,I23*Habitat!$L$34,0)+IF(C23=5,I23*Habitat!$M$34,0)+IF(C23=6,I23*Habitat!$N$34,0)</f>
        <v>0</v>
      </c>
      <c r="M23" s="48">
        <f>IF(C23=1,I23*Habitat!$I$37,0)+IF(C23=2,I23*Habitat!$J$37,0)+IF(C23=3,I23*Habitat!$K$37,0)+IF(C23=4,I23*Habitat!$L$37,0)+IF(C23=5,I23*Habitat!$M$37,0)</f>
        <v>0</v>
      </c>
      <c r="N23" s="48">
        <f>IF(C23=1,I23*Habitat!$I$38,0)+IF(C23=2,I23*Habitat!$J$38,0)+IF(C23=3,I23*Habitat!$K$38,0)+IF(C23=4,I23*Habitat!$L$38,0)+IF(C23=5,I23*Habitat!$M$38,0)*IF(C23=7,I23*Habitat!$O$38,0)</f>
        <v>0</v>
      </c>
      <c r="O23">
        <f>IF(C23=1,I23*Habitat!$I$39,0)+IF(C23=2,I23*Habitat!$J$39,0)+IF(C23=3,I23*Habitat!$K$39,0)+IF(C23=4,I23*Habitat!$L$39,0)+IF(C23=5,I23*Habitat!$M$39,0)</f>
        <v>0</v>
      </c>
    </row>
    <row r="24" spans="1:16" ht="16" customHeight="1">
      <c r="A24" s="5">
        <f t="shared" si="1"/>
        <v>13</v>
      </c>
      <c r="B24" s="5">
        <f t="shared" si="5"/>
        <v>-8</v>
      </c>
      <c r="C24" s="5">
        <f t="shared" si="3"/>
        <v>3</v>
      </c>
      <c r="D24" s="56">
        <f t="shared" si="6"/>
        <v>840</v>
      </c>
      <c r="E24" s="48">
        <f t="shared" si="7"/>
        <v>65</v>
      </c>
      <c r="F24" s="7">
        <f>Habitat!$D$22*D24</f>
        <v>10.354716981132075</v>
      </c>
      <c r="G24" s="3">
        <f t="shared" si="0"/>
        <v>0</v>
      </c>
      <c r="H24" s="3">
        <f t="shared" si="8"/>
        <v>0</v>
      </c>
      <c r="I24" s="47">
        <f t="shared" si="9"/>
        <v>0</v>
      </c>
      <c r="J24" s="48">
        <f>IF(C24=1,I24*Habitat!$I$36,0)+IF(C24=2,I24*Habitat!$J$36,0)+IF(C24=3,I24*Habitat!$K$36,0)+IF(C24=4,I24*Habitat!$L$36,0)+IF(C24=5,I24*Habitat!$M$36,0)</f>
        <v>0</v>
      </c>
      <c r="K24" s="48">
        <f>IF(C24=1,I24*Habitat!$I$35,0)+IF(C24=2,I24*Habitat!$J$35,0)+IF(C24=3,I24*Habitat!$K$35,0)+IF(C24=4,I24*Habitat!$L$35,0)+IF(C24=5,I24*Habitat!$M$35,0)</f>
        <v>0</v>
      </c>
      <c r="L24" s="48">
        <f>IF(C24=1,I24*Habitat!$I$34,0)+IF(C24=2,I24*Habitat!$J$34,0)+IF(C24=3,I24*Habitat!$K$34,0)+IF(C24=4,I24*Habitat!$L$34,0)+IF(C24=5,I24*Habitat!$M$34,0)+IF(C24=6,I24*Habitat!$N$34,0)</f>
        <v>0</v>
      </c>
      <c r="M24" s="48">
        <f>IF(C24=1,I24*Habitat!$I$37,0)+IF(C24=2,I24*Habitat!$J$37,0)+IF(C24=3,I24*Habitat!$K$37,0)+IF(C24=4,I24*Habitat!$L$37,0)+IF(C24=5,I24*Habitat!$M$37,0)</f>
        <v>0</v>
      </c>
      <c r="N24" s="48">
        <f>IF(C24=1,I24*Habitat!$I$38,0)+IF(C24=2,I24*Habitat!$J$38,0)+IF(C24=3,I24*Habitat!$K$38,0)+IF(C24=4,I24*Habitat!$L$38,0)+IF(C24=5,I24*Habitat!$M$38,0)*IF(C24=7,I24*Habitat!$O$38,0)</f>
        <v>0</v>
      </c>
      <c r="O24">
        <f>IF(C24=1,I24*Habitat!$I$39,0)+IF(C24=2,I24*Habitat!$J$39,0)+IF(C24=3,I24*Habitat!$K$39,0)+IF(C24=4,I24*Habitat!$L$39,0)+IF(C24=5,I24*Habitat!$M$39,0)</f>
        <v>0</v>
      </c>
    </row>
    <row r="25" spans="1:16" ht="16" customHeight="1">
      <c r="A25" s="5">
        <f t="shared" si="1"/>
        <v>14</v>
      </c>
      <c r="B25" s="5">
        <f t="shared" si="5"/>
        <v>-9</v>
      </c>
      <c r="C25" s="5">
        <f t="shared" si="3"/>
        <v>3</v>
      </c>
      <c r="D25" s="56">
        <f t="shared" si="6"/>
        <v>845</v>
      </c>
      <c r="E25" s="48">
        <f t="shared" si="7"/>
        <v>70</v>
      </c>
      <c r="F25" s="7">
        <f>Habitat!$D$22*D25</f>
        <v>10.416352201257862</v>
      </c>
      <c r="G25" s="3">
        <f t="shared" si="0"/>
        <v>0</v>
      </c>
      <c r="H25" s="3">
        <f t="shared" si="8"/>
        <v>0</v>
      </c>
      <c r="I25" s="47">
        <f t="shared" si="9"/>
        <v>0</v>
      </c>
      <c r="J25" s="48">
        <f>IF(C25=1,I25*Habitat!$I$36,0)+IF(C25=2,I25*Habitat!$J$36,0)+IF(C25=3,I25*Habitat!$K$36,0)+IF(C25=4,I25*Habitat!$L$36,0)+IF(C25=5,I25*Habitat!$M$36,0)</f>
        <v>0</v>
      </c>
      <c r="K25" s="48">
        <f>IF(C25=1,I25*Habitat!$I$35,0)+IF(C25=2,I25*Habitat!$J$35,0)+IF(C25=3,I25*Habitat!$K$35,0)+IF(C25=4,I25*Habitat!$L$35,0)+IF(C25=5,I25*Habitat!$M$35,0)</f>
        <v>0</v>
      </c>
      <c r="L25" s="48">
        <f>IF(C25=1,I25*Habitat!$I$34,0)+IF(C25=2,I25*Habitat!$J$34,0)+IF(C25=3,I25*Habitat!$K$34,0)+IF(C25=4,I25*Habitat!$L$34,0)+IF(C25=5,I25*Habitat!$M$34,0)+IF(C25=6,I25*Habitat!$N$34,0)</f>
        <v>0</v>
      </c>
      <c r="M25" s="48">
        <f>IF(C25=1,I25*Habitat!$I$37,0)+IF(C25=2,I25*Habitat!$J$37,0)+IF(C25=3,I25*Habitat!$K$37,0)+IF(C25=4,I25*Habitat!$L$37,0)+IF(C25=5,I25*Habitat!$M$37,0)</f>
        <v>0</v>
      </c>
      <c r="N25" s="48">
        <f>IF(C25=1,I25*Habitat!$I$38,0)+IF(C25=2,I25*Habitat!$J$38,0)+IF(C25=3,I25*Habitat!$K$38,0)+IF(C25=4,I25*Habitat!$L$38,0)+IF(C25=5,I25*Habitat!$M$38,0)*IF(C25=7,I25*Habitat!$O$38,0)</f>
        <v>0</v>
      </c>
      <c r="O25">
        <f>IF(C25=1,I25*Habitat!$I$39,0)+IF(C25=2,I25*Habitat!$J$39,0)+IF(C25=3,I25*Habitat!$K$39,0)+IF(C25=4,I25*Habitat!$L$39,0)+IF(C25=5,I25*Habitat!$M$39,0)</f>
        <v>0</v>
      </c>
    </row>
    <row r="26" spans="1:16">
      <c r="A26" s="5">
        <f t="shared" si="1"/>
        <v>15</v>
      </c>
      <c r="B26" s="5">
        <f t="shared" si="5"/>
        <v>-10</v>
      </c>
      <c r="C26" s="5">
        <f t="shared" si="3"/>
        <v>3</v>
      </c>
      <c r="D26" s="56">
        <f t="shared" si="6"/>
        <v>850</v>
      </c>
      <c r="E26" s="48">
        <f t="shared" si="7"/>
        <v>75</v>
      </c>
      <c r="F26" s="7">
        <f>Habitat!$D$22*D26</f>
        <v>10.477987421383649</v>
      </c>
      <c r="G26" s="3">
        <f t="shared" si="0"/>
        <v>0</v>
      </c>
      <c r="H26" s="3">
        <f t="shared" si="8"/>
        <v>0</v>
      </c>
      <c r="I26" s="47">
        <f t="shared" si="9"/>
        <v>0</v>
      </c>
      <c r="J26" s="48">
        <f>IF(C26=1,I26*Habitat!$I$36,0)+IF(C26=2,I26*Habitat!$J$36,0)+IF(C26=3,I26*Habitat!$K$36,0)+IF(C26=4,I26*Habitat!$L$36,0)+IF(C26=5,I26*Habitat!$M$36,0)</f>
        <v>0</v>
      </c>
      <c r="K26" s="48">
        <f>IF(C26=1,I26*Habitat!$I$35,0)+IF(C26=2,I26*Habitat!$J$35,0)+IF(C26=3,I26*Habitat!$K$35,0)+IF(C26=4,I26*Habitat!$L$35,0)+IF(C26=5,I26*Habitat!$M$35,0)</f>
        <v>0</v>
      </c>
      <c r="L26" s="48">
        <f>IF(C26=1,I26*Habitat!$I$34,0)+IF(C26=2,I26*Habitat!$J$34,0)+IF(C26=3,I26*Habitat!$K$34,0)+IF(C26=4,I26*Habitat!$L$34,0)+IF(C26=5,I26*Habitat!$M$34,0)+IF(C26=6,I26*Habitat!$N$34,0)</f>
        <v>0</v>
      </c>
      <c r="M26" s="48">
        <f>IF(C26=1,I26*Habitat!$I$37,0)+IF(C26=2,I26*Habitat!$J$37,0)+IF(C26=3,I26*Habitat!$K$37,0)+IF(C26=4,I26*Habitat!$L$37,0)+IF(C26=5,I26*Habitat!$M$37,0)</f>
        <v>0</v>
      </c>
      <c r="N26" s="48">
        <f>IF(C26=1,I26*Habitat!$I$38,0)+IF(C26=2,I26*Habitat!$J$38,0)+IF(C26=3,I26*Habitat!$K$38,0)+IF(C26=4,I26*Habitat!$L$38,0)+IF(C26=5,I26*Habitat!$M$38,0)*IF(C26=7,I26*Habitat!$O$38,0)</f>
        <v>0</v>
      </c>
      <c r="O26">
        <f>IF(C26=1,I26*Habitat!$I$39,0)+IF(C26=2,I26*Habitat!$J$39,0)+IF(C26=3,I26*Habitat!$K$39,0)+IF(C26=4,I26*Habitat!$L$39,0)+IF(C26=5,I26*Habitat!$M$39,0)</f>
        <v>0</v>
      </c>
    </row>
    <row r="27" spans="1:16">
      <c r="A27" s="5">
        <f t="shared" si="1"/>
        <v>16</v>
      </c>
      <c r="B27" s="5">
        <f t="shared" si="5"/>
        <v>-11</v>
      </c>
      <c r="C27" s="5">
        <f t="shared" si="3"/>
        <v>3</v>
      </c>
      <c r="D27" s="56">
        <f t="shared" si="6"/>
        <v>855</v>
      </c>
      <c r="E27" s="48">
        <f t="shared" si="7"/>
        <v>80</v>
      </c>
      <c r="F27" s="7">
        <f>Habitat!$D$22*D27</f>
        <v>10.539622641509434</v>
      </c>
      <c r="G27" s="3">
        <f t="shared" si="0"/>
        <v>0</v>
      </c>
      <c r="H27" s="3">
        <f t="shared" si="8"/>
        <v>0</v>
      </c>
      <c r="I27" s="47">
        <f t="shared" si="9"/>
        <v>0</v>
      </c>
      <c r="J27" s="48">
        <f>IF(C27=1,I27*Habitat!$I$36,0)+IF(C27=2,I27*Habitat!$J$36,0)+IF(C27=3,I27*Habitat!$K$36,0)+IF(C27=4,I27*Habitat!$L$36,0)+IF(C27=5,I27*Habitat!$M$36,0)</f>
        <v>0</v>
      </c>
      <c r="K27" s="48">
        <f>IF(C27=1,I27*Habitat!$I$35,0)+IF(C27=2,I27*Habitat!$J$35,0)+IF(C27=3,I27*Habitat!$K$35,0)+IF(C27=4,I27*Habitat!$L$35,0)+IF(C27=5,I27*Habitat!$M$35,0)</f>
        <v>0</v>
      </c>
      <c r="L27" s="48">
        <f>IF(C27=1,I27*Habitat!$I$34,0)+IF(C27=2,I27*Habitat!$J$34,0)+IF(C27=3,I27*Habitat!$K$34,0)+IF(C27=4,I27*Habitat!$L$34,0)+IF(C27=5,I27*Habitat!$M$34,0)+IF(C27=6,I27*Habitat!$N$34,0)</f>
        <v>0</v>
      </c>
      <c r="M27" s="48">
        <f>IF(C27=1,I27*Habitat!$I$37,0)+IF(C27=2,I27*Habitat!$J$37,0)+IF(C27=3,I27*Habitat!$K$37,0)+IF(C27=4,I27*Habitat!$L$37,0)+IF(C27=5,I27*Habitat!$M$37,0)</f>
        <v>0</v>
      </c>
      <c r="N27" s="48">
        <f>IF(C27=1,I27*Habitat!$I$38,0)+IF(C27=2,I27*Habitat!$J$38,0)+IF(C27=3,I27*Habitat!$K$38,0)+IF(C27=4,I27*Habitat!$L$38,0)+IF(C27=5,I27*Habitat!$M$38,0)*IF(C27=7,I27*Habitat!$O$38,0)</f>
        <v>0</v>
      </c>
      <c r="O27">
        <f>IF(C27=1,I27*Habitat!$I$39,0)+IF(C27=2,I27*Habitat!$J$39,0)+IF(C27=3,I27*Habitat!$K$39,0)+IF(C27=4,I27*Habitat!$L$39,0)+IF(C27=5,I27*Habitat!$M$39,0)</f>
        <v>0</v>
      </c>
    </row>
    <row r="28" spans="1:16">
      <c r="A28" s="5">
        <f t="shared" si="1"/>
        <v>17</v>
      </c>
      <c r="B28" s="5">
        <f t="shared" si="5"/>
        <v>-12</v>
      </c>
      <c r="C28" s="5">
        <f t="shared" si="3"/>
        <v>3</v>
      </c>
      <c r="D28" s="56">
        <f t="shared" si="6"/>
        <v>860</v>
      </c>
      <c r="E28" s="48">
        <f t="shared" si="7"/>
        <v>85</v>
      </c>
      <c r="F28" s="7">
        <f>Habitat!$D$22*D28</f>
        <v>10.60125786163522</v>
      </c>
      <c r="G28" s="3">
        <f t="shared" si="0"/>
        <v>0</v>
      </c>
      <c r="H28" s="3">
        <f t="shared" si="8"/>
        <v>0</v>
      </c>
      <c r="I28" s="47">
        <f t="shared" si="9"/>
        <v>0</v>
      </c>
      <c r="J28" s="48">
        <f>IF(C28=1,I28*Habitat!$I$36,0)+IF(C28=2,I28*Habitat!$J$36,0)+IF(C28=3,I28*Habitat!$K$36,0)+IF(C28=4,I28*Habitat!$L$36,0)+IF(C28=5,I28*Habitat!$M$36,0)</f>
        <v>0</v>
      </c>
      <c r="K28" s="48">
        <f>IF(C28=1,I28*Habitat!$I$35,0)+IF(C28=2,I28*Habitat!$J$35,0)+IF(C28=3,I28*Habitat!$K$35,0)+IF(C28=4,I28*Habitat!$L$35,0)+IF(C28=5,I28*Habitat!$M$35,0)</f>
        <v>0</v>
      </c>
      <c r="L28" s="48">
        <f>IF(C28=1,I28*Habitat!$I$34,0)+IF(C28=2,I28*Habitat!$J$34,0)+IF(C28=3,I28*Habitat!$K$34,0)+IF(C28=4,I28*Habitat!$L$34,0)+IF(C28=5,I28*Habitat!$M$34,0)+IF(C28=6,I28*Habitat!$N$34,0)</f>
        <v>0</v>
      </c>
      <c r="M28" s="48">
        <f>IF(C28=1,I28*Habitat!$I$37,0)+IF(C28=2,I28*Habitat!$J$37,0)+IF(C28=3,I28*Habitat!$K$37,0)+IF(C28=4,I28*Habitat!$L$37,0)+IF(C28=5,I28*Habitat!$M$37,0)</f>
        <v>0</v>
      </c>
      <c r="N28" s="48">
        <f>IF(C28=1,I28*Habitat!$I$38,0)+IF(C28=2,I28*Habitat!$J$38,0)+IF(C28=3,I28*Habitat!$K$38,0)+IF(C28=4,I28*Habitat!$L$38,0)+IF(C28=5,I28*Habitat!$M$38,0)*IF(C28=7,I28*Habitat!$O$38,0)</f>
        <v>0</v>
      </c>
      <c r="O28">
        <f>IF(C28=1,I28*Habitat!$I$39,0)+IF(C28=2,I28*Habitat!$J$39,0)+IF(C28=3,I28*Habitat!$K$39,0)+IF(C28=4,I28*Habitat!$L$39,0)+IF(C28=5,I28*Habitat!$M$39,0)</f>
        <v>0</v>
      </c>
    </row>
    <row r="29" spans="1:16">
      <c r="A29" s="5">
        <f t="shared" si="1"/>
        <v>18</v>
      </c>
      <c r="B29" s="5">
        <f t="shared" si="5"/>
        <v>-13</v>
      </c>
      <c r="C29" s="5">
        <f t="shared" si="3"/>
        <v>3</v>
      </c>
      <c r="D29" s="56">
        <f t="shared" si="6"/>
        <v>865</v>
      </c>
      <c r="E29" s="48">
        <f t="shared" si="7"/>
        <v>90</v>
      </c>
      <c r="F29" s="7">
        <f>Habitat!$D$22*D29</f>
        <v>10.662893081761005</v>
      </c>
      <c r="G29" s="3">
        <f t="shared" si="0"/>
        <v>0</v>
      </c>
      <c r="H29" s="3">
        <f t="shared" si="8"/>
        <v>0</v>
      </c>
      <c r="I29" s="47">
        <f t="shared" si="9"/>
        <v>0</v>
      </c>
      <c r="J29" s="48">
        <f>IF(C29=1,I29*Habitat!$I$36,0)+IF(C29=2,I29*Habitat!$J$36,0)+IF(C29=3,I29*Habitat!$K$36,0)+IF(C29=4,I29*Habitat!$L$36,0)+IF(C29=5,I29*Habitat!$M$36,0)</f>
        <v>0</v>
      </c>
      <c r="K29" s="48">
        <f>IF(C29=1,I29*Habitat!$I$35,0)+IF(C29=2,I29*Habitat!$J$35,0)+IF(C29=3,I29*Habitat!$K$35,0)+IF(C29=4,I29*Habitat!$L$35,0)+IF(C29=5,I29*Habitat!$M$35,0)</f>
        <v>0</v>
      </c>
      <c r="L29" s="48">
        <f>IF(C29=1,I29*Habitat!$I$34,0)+IF(C29=2,I29*Habitat!$J$34,0)+IF(C29=3,I29*Habitat!$K$34,0)+IF(C29=4,I29*Habitat!$L$34,0)+IF(C29=5,I29*Habitat!$M$34,0)+IF(C29=6,I29*Habitat!$N$34,0)</f>
        <v>0</v>
      </c>
      <c r="M29" s="48">
        <f>IF(C29=1,I29*Habitat!$I$37,0)+IF(C29=2,I29*Habitat!$J$37,0)+IF(C29=3,I29*Habitat!$K$37,0)+IF(C29=4,I29*Habitat!$L$37,0)+IF(C29=5,I29*Habitat!$M$37,0)</f>
        <v>0</v>
      </c>
      <c r="N29" s="48">
        <f>IF(C29=1,I29*Habitat!$I$38,0)+IF(C29=2,I29*Habitat!$J$38,0)+IF(C29=3,I29*Habitat!$K$38,0)+IF(C29=4,I29*Habitat!$L$38,0)+IF(C29=5,I29*Habitat!$M$38,0)*IF(C29=7,I29*Habitat!$O$38,0)</f>
        <v>0</v>
      </c>
      <c r="O29">
        <f>IF(C29=1,I29*Habitat!$I$39,0)+IF(C29=2,I29*Habitat!$J$39,0)+IF(C29=3,I29*Habitat!$K$39,0)+IF(C29=4,I29*Habitat!$L$39,0)+IF(C29=5,I29*Habitat!$M$39,0)</f>
        <v>0</v>
      </c>
      <c r="P29" s="120"/>
    </row>
    <row r="30" spans="1:16">
      <c r="A30" s="5">
        <f t="shared" si="1"/>
        <v>19</v>
      </c>
      <c r="B30" s="5">
        <f t="shared" si="5"/>
        <v>-14</v>
      </c>
      <c r="C30" s="5">
        <f t="shared" si="3"/>
        <v>3</v>
      </c>
      <c r="D30" s="56">
        <f t="shared" si="6"/>
        <v>870</v>
      </c>
      <c r="E30" s="48">
        <f t="shared" si="7"/>
        <v>95</v>
      </c>
      <c r="F30" s="7">
        <f>Habitat!$D$22*D30</f>
        <v>10.724528301886792</v>
      </c>
      <c r="G30" s="3">
        <f t="shared" si="0"/>
        <v>0</v>
      </c>
      <c r="H30" s="3">
        <f t="shared" si="8"/>
        <v>0</v>
      </c>
      <c r="I30" s="47">
        <f t="shared" si="9"/>
        <v>0</v>
      </c>
      <c r="J30" s="48">
        <f>IF(C30=1,I30*Habitat!$I$36,0)+IF(C30=2,I30*Habitat!$J$36,0)+IF(C30=3,I30*Habitat!$K$36,0)+IF(C30=4,I30*Habitat!$L$36,0)+IF(C30=5,I30*Habitat!$M$36,0)</f>
        <v>0</v>
      </c>
      <c r="K30" s="48">
        <f>IF(C30=1,I30*Habitat!$I$35,0)+IF(C30=2,I30*Habitat!$J$35,0)+IF(C30=3,I30*Habitat!$K$35,0)+IF(C30=4,I30*Habitat!$L$35,0)+IF(C30=5,I30*Habitat!$M$35,0)</f>
        <v>0</v>
      </c>
      <c r="L30" s="48">
        <f>IF(C30=1,I30*Habitat!$I$34,0)+IF(C30=2,I30*Habitat!$J$34,0)+IF(C30=3,I30*Habitat!$K$34,0)+IF(C30=4,I30*Habitat!$L$34,0)+IF(C30=5,I30*Habitat!$M$34,0)+IF(C30=6,I30*Habitat!$N$34,0)</f>
        <v>0</v>
      </c>
      <c r="M30" s="48">
        <f>IF(C30=1,I30*Habitat!$I$37,0)+IF(C30=2,I30*Habitat!$J$37,0)+IF(C30=3,I30*Habitat!$K$37,0)+IF(C30=4,I30*Habitat!$L$37,0)+IF(C30=5,I30*Habitat!$M$37,0)</f>
        <v>0</v>
      </c>
      <c r="N30" s="48">
        <f>IF(C30=1,I30*Habitat!$I$38,0)+IF(C30=2,I30*Habitat!$J$38,0)+IF(C30=3,I30*Habitat!$K$38,0)+IF(C30=4,I30*Habitat!$L$38,0)+IF(C30=5,I30*Habitat!$M$38,0)*IF(C30=7,I30*Habitat!$O$38,0)</f>
        <v>0</v>
      </c>
      <c r="O30">
        <f>IF(C30=1,I30*Habitat!$I$39,0)+IF(C30=2,I30*Habitat!$J$39,0)+IF(C30=3,I30*Habitat!$K$39,0)+IF(C30=4,I30*Habitat!$L$39,0)+IF(C30=5,I30*Habitat!$M$39,0)</f>
        <v>0</v>
      </c>
    </row>
    <row r="31" spans="1:16">
      <c r="A31" s="5">
        <f t="shared" si="1"/>
        <v>20</v>
      </c>
      <c r="B31" s="5">
        <f t="shared" si="5"/>
        <v>-15</v>
      </c>
      <c r="C31" s="5">
        <f t="shared" si="3"/>
        <v>3</v>
      </c>
      <c r="D31" s="56">
        <f t="shared" si="6"/>
        <v>875</v>
      </c>
      <c r="E31" s="48">
        <f t="shared" si="7"/>
        <v>100</v>
      </c>
      <c r="F31" s="7">
        <f>Habitat!$D$22*D31</f>
        <v>10.786163522012579</v>
      </c>
      <c r="G31" s="3">
        <f t="shared" si="0"/>
        <v>0</v>
      </c>
      <c r="H31" s="3">
        <f t="shared" si="8"/>
        <v>0</v>
      </c>
      <c r="I31" s="47">
        <f t="shared" si="9"/>
        <v>0</v>
      </c>
      <c r="J31" s="48">
        <f>IF(C31=1,I31*Habitat!$I$36,0)+IF(C31=2,I31*Habitat!$J$36,0)+IF(C31=3,I31*Habitat!$K$36,0)+IF(C31=4,I31*Habitat!$L$36,0)+IF(C31=5,I31*Habitat!$M$36,0)</f>
        <v>0</v>
      </c>
      <c r="K31" s="48">
        <f>IF(C31=1,I31*Habitat!$I$35,0)+IF(C31=2,I31*Habitat!$J$35,0)+IF(C31=3,I31*Habitat!$K$35,0)+IF(C31=4,I31*Habitat!$L$35,0)+IF(C31=5,I31*Habitat!$M$35,0)</f>
        <v>0</v>
      </c>
      <c r="L31" s="48">
        <f>IF(C31=1,I31*Habitat!$I$34,0)+IF(C31=2,I31*Habitat!$J$34,0)+IF(C31=3,I31*Habitat!$K$34,0)+IF(C31=4,I31*Habitat!$L$34,0)+IF(C31=5,I31*Habitat!$M$34,0)+IF(C31=6,I31*Habitat!$N$34,0)</f>
        <v>0</v>
      </c>
      <c r="M31" s="48">
        <f>IF(C31=1,I31*Habitat!$I$37,0)+IF(C31=2,I31*Habitat!$J$37,0)+IF(C31=3,I31*Habitat!$K$37,0)+IF(C31=4,I31*Habitat!$L$37,0)+IF(C31=5,I31*Habitat!$M$37,0)</f>
        <v>0</v>
      </c>
      <c r="N31" s="48">
        <f>IF(C31=1,I31*Habitat!$I$38,0)+IF(C31=2,I31*Habitat!$J$38,0)+IF(C31=3,I31*Habitat!$K$38,0)+IF(C31=4,I31*Habitat!$L$38,0)+IF(C31=5,I31*Habitat!$M$38,0)*IF(C31=7,I31*Habitat!$O$38,0)</f>
        <v>0</v>
      </c>
      <c r="O31">
        <f>IF(C31=1,I31*Habitat!$I$39,0)+IF(C31=2,I31*Habitat!$J$39,0)+IF(C31=3,I31*Habitat!$K$39,0)+IF(C31=4,I31*Habitat!$L$39,0)+IF(C31=5,I31*Habitat!$M$39,0)</f>
        <v>0</v>
      </c>
    </row>
    <row r="32" spans="1:16">
      <c r="A32" s="5">
        <f t="shared" si="1"/>
        <v>21</v>
      </c>
      <c r="B32" s="5">
        <f t="shared" si="5"/>
        <v>-16</v>
      </c>
      <c r="C32" s="5">
        <f t="shared" si="3"/>
        <v>3</v>
      </c>
      <c r="D32" s="56">
        <f t="shared" si="6"/>
        <v>880</v>
      </c>
      <c r="E32" s="48">
        <f t="shared" si="7"/>
        <v>105</v>
      </c>
      <c r="F32" s="7">
        <f>Habitat!$D$22*D32</f>
        <v>10.847798742138364</v>
      </c>
      <c r="G32" s="3">
        <f t="shared" si="0"/>
        <v>0</v>
      </c>
      <c r="H32" s="3">
        <f t="shared" si="8"/>
        <v>0</v>
      </c>
      <c r="I32" s="47">
        <f t="shared" si="9"/>
        <v>0</v>
      </c>
      <c r="J32" s="48">
        <f>IF(C32=1,I32*Habitat!$I$36,0)+IF(C32=2,I32*Habitat!$J$36,0)+IF(C32=3,I32*Habitat!$K$36,0)+IF(C32=4,I32*Habitat!$L$36,0)+IF(C32=5,I32*Habitat!$M$36,0)</f>
        <v>0</v>
      </c>
      <c r="K32" s="48">
        <f>IF(C32=1,I32*Habitat!$I$35,0)+IF(C32=2,I32*Habitat!$J$35,0)+IF(C32=3,I32*Habitat!$K$35,0)+IF(C32=4,I32*Habitat!$L$35,0)+IF(C32=5,I32*Habitat!$M$35,0)</f>
        <v>0</v>
      </c>
      <c r="L32" s="48">
        <f>IF(C32=1,I32*Habitat!$I$34,0)+IF(C32=2,I32*Habitat!$J$34,0)+IF(C32=3,I32*Habitat!$K$34,0)+IF(C32=4,I32*Habitat!$L$34,0)+IF(C32=5,I32*Habitat!$M$34,0)+IF(C32=6,I32*Habitat!$N$34,0)</f>
        <v>0</v>
      </c>
      <c r="M32" s="48">
        <f>IF(C32=1,I32*Habitat!$I$37,0)+IF(C32=2,I32*Habitat!$J$37,0)+IF(C32=3,I32*Habitat!$K$37,0)+IF(C32=4,I32*Habitat!$L$37,0)+IF(C32=5,I32*Habitat!$M$37,0)</f>
        <v>0</v>
      </c>
      <c r="N32" s="48">
        <f>IF(C32=1,I32*Habitat!$I$38,0)+IF(C32=2,I32*Habitat!$J$38,0)+IF(C32=3,I32*Habitat!$K$38,0)+IF(C32=4,I32*Habitat!$L$38,0)+IF(C32=5,I32*Habitat!$M$38,0)*IF(C32=7,I32*Habitat!$O$38,0)</f>
        <v>0</v>
      </c>
      <c r="O32">
        <f>IF(C32=1,I32*Habitat!$I$39,0)+IF(C32=2,I32*Habitat!$J$39,0)+IF(C32=3,I32*Habitat!$K$39,0)+IF(C32=4,I32*Habitat!$L$39,0)+IF(C32=5,I32*Habitat!$M$39,0)</f>
        <v>0</v>
      </c>
      <c r="P32" s="120"/>
    </row>
    <row r="33" spans="1:15">
      <c r="A33" s="5">
        <f t="shared" si="1"/>
        <v>22</v>
      </c>
      <c r="B33" s="5">
        <f t="shared" si="5"/>
        <v>-17</v>
      </c>
      <c r="C33" s="5">
        <f t="shared" si="3"/>
        <v>3</v>
      </c>
      <c r="D33" s="56">
        <f t="shared" si="6"/>
        <v>885</v>
      </c>
      <c r="E33" s="48">
        <f t="shared" si="7"/>
        <v>110</v>
      </c>
      <c r="F33" s="7">
        <f>Habitat!$D$22*D33</f>
        <v>10.909433962264151</v>
      </c>
      <c r="G33" s="3">
        <f t="shared" si="0"/>
        <v>0</v>
      </c>
      <c r="H33" s="3">
        <f t="shared" si="8"/>
        <v>0</v>
      </c>
      <c r="I33" s="47">
        <f t="shared" si="9"/>
        <v>0</v>
      </c>
      <c r="J33" s="48">
        <f>IF(C33=1,I33*Habitat!$I$36,0)+IF(C33=2,I33*Habitat!$J$36,0)+IF(C33=3,I33*Habitat!$K$36,0)+IF(C33=4,I33*Habitat!$L$36,0)+IF(C33=5,I33*Habitat!$M$36,0)</f>
        <v>0</v>
      </c>
      <c r="K33" s="48">
        <f>IF(C33=1,I33*Habitat!$I$35,0)+IF(C33=2,I33*Habitat!$J$35,0)+IF(C33=3,I33*Habitat!$K$35,0)+IF(C33=4,I33*Habitat!$L$35,0)+IF(C33=5,I33*Habitat!$M$35,0)</f>
        <v>0</v>
      </c>
      <c r="L33" s="48">
        <f>IF(C33=1,I33*Habitat!$I$34,0)+IF(C33=2,I33*Habitat!$J$34,0)+IF(C33=3,I33*Habitat!$K$34,0)+IF(C33=4,I33*Habitat!$L$34,0)+IF(C33=5,I33*Habitat!$M$34,0)+IF(C33=6,I33*Habitat!$N$34,0)</f>
        <v>0</v>
      </c>
      <c r="M33" s="48">
        <f>IF(C33=1,I33*Habitat!$I$37,0)+IF(C33=2,I33*Habitat!$J$37,0)+IF(C33=3,I33*Habitat!$K$37,0)+IF(C33=4,I33*Habitat!$L$37,0)+IF(C33=5,I33*Habitat!$M$37,0)</f>
        <v>0</v>
      </c>
      <c r="N33" s="48">
        <f>IF(C33=1,I33*Habitat!$I$38,0)+IF(C33=2,I33*Habitat!$J$38,0)+IF(C33=3,I33*Habitat!$K$38,0)+IF(C33=4,I33*Habitat!$L$38,0)+IF(C33=5,I33*Habitat!$M$38,0)*IF(C33=7,I33*Habitat!$O$38,0)</f>
        <v>0</v>
      </c>
      <c r="O33">
        <f>IF(C33=1,I33*Habitat!$I$39,0)+IF(C33=2,I33*Habitat!$J$39,0)+IF(C33=3,I33*Habitat!$K$39,0)+IF(C33=4,I33*Habitat!$L$39,0)+IF(C33=5,I33*Habitat!$M$39,0)</f>
        <v>0</v>
      </c>
    </row>
    <row r="34" spans="1:15">
      <c r="A34" s="5">
        <f t="shared" si="1"/>
        <v>23</v>
      </c>
      <c r="B34" s="5">
        <f t="shared" si="5"/>
        <v>-18</v>
      </c>
      <c r="C34" s="5">
        <f t="shared" si="3"/>
        <v>3</v>
      </c>
      <c r="D34" s="56">
        <f t="shared" si="6"/>
        <v>890</v>
      </c>
      <c r="E34" s="48">
        <f t="shared" si="7"/>
        <v>115</v>
      </c>
      <c r="F34" s="7">
        <f>Habitat!$D$22*D34</f>
        <v>10.971069182389938</v>
      </c>
      <c r="G34" s="3">
        <f t="shared" si="0"/>
        <v>0</v>
      </c>
      <c r="H34" s="3">
        <f t="shared" si="8"/>
        <v>0</v>
      </c>
      <c r="I34" s="47">
        <f t="shared" si="9"/>
        <v>0</v>
      </c>
      <c r="J34" s="48">
        <f>IF(C34=1,I34*Habitat!$I$36,0)+IF(C34=2,I34*Habitat!$J$36,0)+IF(C34=3,I34*Habitat!$K$36,0)+IF(C34=4,I34*Habitat!$L$36,0)+IF(C34=5,I34*Habitat!$M$36,0)</f>
        <v>0</v>
      </c>
      <c r="K34" s="48">
        <f>IF(C34=1,I34*Habitat!$I$35,0)+IF(C34=2,I34*Habitat!$J$35,0)+IF(C34=3,I34*Habitat!$K$35,0)+IF(C34=4,I34*Habitat!$L$35,0)+IF(C34=5,I34*Habitat!$M$35,0)</f>
        <v>0</v>
      </c>
      <c r="L34" s="48">
        <f>IF(C34=1,I34*Habitat!$I$34,0)+IF(C34=2,I34*Habitat!$J$34,0)+IF(C34=3,I34*Habitat!$K$34,0)+IF(C34=4,I34*Habitat!$L$34,0)+IF(C34=5,I34*Habitat!$M$34,0)+IF(C34=6,I34*Habitat!$N$34,0)</f>
        <v>0</v>
      </c>
      <c r="M34" s="48">
        <f>IF(C34=1,I34*Habitat!$I$37,0)+IF(C34=2,I34*Habitat!$J$37,0)+IF(C34=3,I34*Habitat!$K$37,0)+IF(C34=4,I34*Habitat!$L$37,0)+IF(C34=5,I34*Habitat!$M$37,0)</f>
        <v>0</v>
      </c>
      <c r="N34" s="48">
        <f>IF(C34=1,I34*Habitat!$I$38,0)+IF(C34=2,I34*Habitat!$J$38,0)+IF(C34=3,I34*Habitat!$K$38,0)+IF(C34=4,I34*Habitat!$L$38,0)+IF(C34=5,I34*Habitat!$M$38,0)*IF(C34=7,I34*Habitat!$O$38,0)</f>
        <v>0</v>
      </c>
      <c r="O34">
        <f>IF(C34=1,I34*Habitat!$I$39,0)+IF(C34=2,I34*Habitat!$J$39,0)+IF(C34=3,I34*Habitat!$K$39,0)+IF(C34=4,I34*Habitat!$L$39,0)+IF(C34=5,I34*Habitat!$M$39,0)</f>
        <v>0</v>
      </c>
    </row>
    <row r="35" spans="1:15">
      <c r="A35" s="5">
        <f t="shared" si="1"/>
        <v>24</v>
      </c>
      <c r="B35" s="5">
        <f t="shared" si="5"/>
        <v>-19</v>
      </c>
      <c r="C35" s="5">
        <f t="shared" si="3"/>
        <v>3</v>
      </c>
      <c r="D35" s="56">
        <f t="shared" si="6"/>
        <v>895</v>
      </c>
      <c r="E35" s="48">
        <f t="shared" si="7"/>
        <v>120</v>
      </c>
      <c r="F35" s="7">
        <f>Habitat!$D$22*D35</f>
        <v>11.032704402515723</v>
      </c>
      <c r="G35" s="3">
        <f t="shared" si="0"/>
        <v>0</v>
      </c>
      <c r="H35" s="3">
        <f t="shared" si="8"/>
        <v>0</v>
      </c>
      <c r="I35" s="47">
        <f t="shared" si="9"/>
        <v>0</v>
      </c>
      <c r="J35" s="48">
        <f>IF(C35=1,I35*Habitat!$I$36,0)+IF(C35=2,I35*Habitat!$J$36,0)+IF(C35=3,I35*Habitat!$K$36,0)+IF(C35=4,I35*Habitat!$L$36,0)+IF(C35=5,I35*Habitat!$M$36,0)</f>
        <v>0</v>
      </c>
      <c r="K35" s="48">
        <f>IF(C35=1,I35*Habitat!$I$35,0)+IF(C35=2,I35*Habitat!$J$35,0)+IF(C35=3,I35*Habitat!$K$35,0)+IF(C35=4,I35*Habitat!$L$35,0)+IF(C35=5,I35*Habitat!$M$35,0)</f>
        <v>0</v>
      </c>
      <c r="L35" s="48">
        <f>IF(C35=1,I35*Habitat!$I$34,0)+IF(C35=2,I35*Habitat!$J$34,0)+IF(C35=3,I35*Habitat!$K$34,0)+IF(C35=4,I35*Habitat!$L$34,0)+IF(C35=5,I35*Habitat!$M$34,0)+IF(C35=6,I35*Habitat!$N$34,0)</f>
        <v>0</v>
      </c>
      <c r="M35" s="48">
        <f>IF(C35=1,I35*Habitat!$I$37,0)+IF(C35=2,I35*Habitat!$J$37,0)+IF(C35=3,I35*Habitat!$K$37,0)+IF(C35=4,I35*Habitat!$L$37,0)+IF(C35=5,I35*Habitat!$M$37,0)</f>
        <v>0</v>
      </c>
      <c r="N35" s="48">
        <f>IF(C35=1,I35*Habitat!$I$38,0)+IF(C35=2,I35*Habitat!$J$38,0)+IF(C35=3,I35*Habitat!$K$38,0)+IF(C35=4,I35*Habitat!$L$38,0)+IF(C35=5,I35*Habitat!$M$38,0)*IF(C35=7,I35*Habitat!$O$38,0)</f>
        <v>0</v>
      </c>
      <c r="O35">
        <f>IF(C35=1,I35*Habitat!$I$39,0)+IF(C35=2,I35*Habitat!$J$39,0)+IF(C35=3,I35*Habitat!$K$39,0)+IF(C35=4,I35*Habitat!$L$39,0)+IF(C35=5,I35*Habitat!$M$39,0)</f>
        <v>0</v>
      </c>
    </row>
    <row r="36" spans="1:15">
      <c r="A36" s="5">
        <f t="shared" si="1"/>
        <v>25</v>
      </c>
      <c r="B36" s="5">
        <f t="shared" si="5"/>
        <v>-20</v>
      </c>
      <c r="C36" s="5">
        <f t="shared" si="3"/>
        <v>3</v>
      </c>
      <c r="D36" s="56">
        <f t="shared" si="6"/>
        <v>900</v>
      </c>
      <c r="E36" s="48">
        <f t="shared" si="7"/>
        <v>125</v>
      </c>
      <c r="F36" s="7">
        <f>Habitat!$D$22*D36</f>
        <v>11.09433962264151</v>
      </c>
      <c r="G36" s="3">
        <f t="shared" si="0"/>
        <v>0</v>
      </c>
      <c r="H36" s="3">
        <f t="shared" si="8"/>
        <v>0</v>
      </c>
      <c r="I36" s="47">
        <f t="shared" si="9"/>
        <v>0</v>
      </c>
      <c r="J36" s="48">
        <f>IF(C36=1,I36*Habitat!$I$36,0)+IF(C36=2,I36*Habitat!$J$36,0)+IF(C36=3,I36*Habitat!$K$36,0)+IF(C36=4,I36*Habitat!$L$36,0)+IF(C36=5,I36*Habitat!$M$36,0)</f>
        <v>0</v>
      </c>
      <c r="K36" s="48">
        <f>IF(C36=1,I36*Habitat!$I$35,0)+IF(C36=2,I36*Habitat!$J$35,0)+IF(C36=3,I36*Habitat!$K$35,0)+IF(C36=4,I36*Habitat!$L$35,0)+IF(C36=5,I36*Habitat!$M$35,0)</f>
        <v>0</v>
      </c>
      <c r="L36" s="48">
        <f>IF(C36=1,I36*Habitat!$I$34,0)+IF(C36=2,I36*Habitat!$J$34,0)+IF(C36=3,I36*Habitat!$K$34,0)+IF(C36=4,I36*Habitat!$L$34,0)+IF(C36=5,I36*Habitat!$M$34,0)+IF(C36=6,I36*Habitat!$N$34,0)</f>
        <v>0</v>
      </c>
      <c r="M36" s="48">
        <f>IF(C36=1,I36*Habitat!$I$37,0)+IF(C36=2,I36*Habitat!$J$37,0)+IF(C36=3,I36*Habitat!$K$37,0)+IF(C36=4,I36*Habitat!$L$37,0)+IF(C36=5,I36*Habitat!$M$37,0)</f>
        <v>0</v>
      </c>
      <c r="N36" s="48">
        <f>IF(C36=1,I36*Habitat!$I$38,0)+IF(C36=2,I36*Habitat!$J$38,0)+IF(C36=3,I36*Habitat!$K$38,0)+IF(C36=4,I36*Habitat!$L$38,0)+IF(C36=5,I36*Habitat!$M$38,0)*IF(C36=7,I36*Habitat!$O$38,0)</f>
        <v>0</v>
      </c>
      <c r="O36">
        <f>IF(C36=1,I36*Habitat!$I$39,0)+IF(C36=2,I36*Habitat!$J$39,0)+IF(C36=3,I36*Habitat!$K$39,0)+IF(C36=4,I36*Habitat!$L$39,0)+IF(C36=5,I36*Habitat!$M$39,0)</f>
        <v>0</v>
      </c>
    </row>
    <row r="37" spans="1:15">
      <c r="A37" s="5">
        <f t="shared" si="1"/>
        <v>26</v>
      </c>
      <c r="B37" s="5">
        <f t="shared" si="5"/>
        <v>-21</v>
      </c>
      <c r="C37" s="5">
        <f t="shared" si="3"/>
        <v>3</v>
      </c>
      <c r="D37" s="56">
        <f t="shared" si="6"/>
        <v>905</v>
      </c>
      <c r="E37" s="48">
        <f t="shared" si="7"/>
        <v>130</v>
      </c>
      <c r="F37" s="7">
        <f>Habitat!$D$22*D37</f>
        <v>11.155974842767296</v>
      </c>
      <c r="G37" s="3">
        <f t="shared" si="0"/>
        <v>0</v>
      </c>
      <c r="H37" s="3">
        <f t="shared" si="8"/>
        <v>0</v>
      </c>
      <c r="I37" s="47">
        <f t="shared" si="9"/>
        <v>0</v>
      </c>
      <c r="J37" s="48">
        <f>IF(C37=1,I37*Habitat!$I$36,0)+IF(C37=2,I37*Habitat!$J$36,0)+IF(C37=3,I37*Habitat!$K$36,0)+IF(C37=4,I37*Habitat!$L$36,0)+IF(C37=5,I37*Habitat!$M$36,0)</f>
        <v>0</v>
      </c>
      <c r="K37" s="48">
        <f>IF(C37=1,I37*Habitat!$I$35,0)+IF(C37=2,I37*Habitat!$J$35,0)+IF(C37=3,I37*Habitat!$K$35,0)+IF(C37=4,I37*Habitat!$L$35,0)+IF(C37=5,I37*Habitat!$M$35,0)</f>
        <v>0</v>
      </c>
      <c r="L37" s="48">
        <f>IF(C37=1,I37*Habitat!$I$34,0)+IF(C37=2,I37*Habitat!$J$34,0)+IF(C37=3,I37*Habitat!$K$34,0)+IF(C37=4,I37*Habitat!$L$34,0)+IF(C37=5,I37*Habitat!$M$34,0)+IF(C37=6,I37*Habitat!$N$34,0)</f>
        <v>0</v>
      </c>
      <c r="M37" s="48">
        <f>IF(C37=1,I37*Habitat!$I$37,0)+IF(C37=2,I37*Habitat!$J$37,0)+IF(C37=3,I37*Habitat!$K$37,0)+IF(C37=4,I37*Habitat!$L$37,0)+IF(C37=5,I37*Habitat!$M$37,0)</f>
        <v>0</v>
      </c>
      <c r="N37" s="48">
        <f>IF(C37=1,I37*Habitat!$I$38,0)+IF(C37=2,I37*Habitat!$J$38,0)+IF(C37=3,I37*Habitat!$K$38,0)+IF(C37=4,I37*Habitat!$L$38,0)+IF(C37=5,I37*Habitat!$M$38,0)*IF(C37=7,I37*Habitat!$O$38,0)</f>
        <v>0</v>
      </c>
      <c r="O37">
        <f>IF(C37=1,I37*Habitat!$I$39,0)+IF(C37=2,I37*Habitat!$J$39,0)+IF(C37=3,I37*Habitat!$K$39,0)+IF(C37=4,I37*Habitat!$L$39,0)+IF(C37=5,I37*Habitat!$M$39,0)</f>
        <v>0</v>
      </c>
    </row>
    <row r="38" spans="1:15">
      <c r="A38" s="5">
        <f t="shared" si="1"/>
        <v>27</v>
      </c>
      <c r="B38" s="5">
        <f t="shared" si="5"/>
        <v>-22</v>
      </c>
      <c r="C38" s="5">
        <f t="shared" si="3"/>
        <v>3</v>
      </c>
      <c r="D38" s="56">
        <f t="shared" si="6"/>
        <v>910</v>
      </c>
      <c r="E38" s="48">
        <f t="shared" si="7"/>
        <v>135</v>
      </c>
      <c r="F38" s="7">
        <f>Habitat!$D$22*D38</f>
        <v>11.217610062893081</v>
      </c>
      <c r="G38" s="3">
        <f t="shared" si="0"/>
        <v>0</v>
      </c>
      <c r="H38" s="3">
        <f t="shared" si="8"/>
        <v>0</v>
      </c>
      <c r="I38" s="47">
        <f t="shared" si="9"/>
        <v>0</v>
      </c>
      <c r="J38" s="48">
        <f>IF(C38=1,I38*Habitat!$I$36,0)+IF(C38=2,I38*Habitat!$J$36,0)+IF(C38=3,I38*Habitat!$K$36,0)+IF(C38=4,I38*Habitat!$L$36,0)+IF(C38=5,I38*Habitat!$M$36,0)</f>
        <v>0</v>
      </c>
      <c r="K38" s="48">
        <f>IF(C38=1,I38*Habitat!$I$35,0)+IF(C38=2,I38*Habitat!$J$35,0)+IF(C38=3,I38*Habitat!$K$35,0)+IF(C38=4,I38*Habitat!$L$35,0)+IF(C38=5,I38*Habitat!$M$35,0)</f>
        <v>0</v>
      </c>
      <c r="L38" s="48">
        <f>IF(C38=1,I38*Habitat!$I$34,0)+IF(C38=2,I38*Habitat!$J$34,0)+IF(C38=3,I38*Habitat!$K$34,0)+IF(C38=4,I38*Habitat!$L$34,0)+IF(C38=5,I38*Habitat!$M$34,0)+IF(C38=6,I38*Habitat!$N$34,0)</f>
        <v>0</v>
      </c>
      <c r="M38" s="48">
        <f>IF(C38=1,I38*Habitat!$I$37,0)+IF(C38=2,I38*Habitat!$J$37,0)+IF(C38=3,I38*Habitat!$K$37,0)+IF(C38=4,I38*Habitat!$L$37,0)+IF(C38=5,I38*Habitat!$M$37,0)</f>
        <v>0</v>
      </c>
      <c r="N38" s="48">
        <f>IF(C38=1,I38*Habitat!$I$38,0)+IF(C38=2,I38*Habitat!$J$38,0)+IF(C38=3,I38*Habitat!$K$38,0)+IF(C38=4,I38*Habitat!$L$38,0)+IF(C38=5,I38*Habitat!$M$38,0)*IF(C38=7,I38*Habitat!$O$38,0)</f>
        <v>0</v>
      </c>
      <c r="O38">
        <f>IF(C38=1,I38*Habitat!$I$39,0)+IF(C38=2,I38*Habitat!$J$39,0)+IF(C38=3,I38*Habitat!$K$39,0)+IF(C38=4,I38*Habitat!$L$39,0)+IF(C38=5,I38*Habitat!$M$39,0)</f>
        <v>0</v>
      </c>
    </row>
    <row r="39" spans="1:15">
      <c r="A39" s="5">
        <f t="shared" si="1"/>
        <v>28</v>
      </c>
      <c r="B39" s="5">
        <f t="shared" si="5"/>
        <v>-23</v>
      </c>
      <c r="C39" s="5">
        <f t="shared" si="3"/>
        <v>3</v>
      </c>
      <c r="D39" s="56">
        <f t="shared" si="6"/>
        <v>915</v>
      </c>
      <c r="E39" s="48">
        <f t="shared" si="7"/>
        <v>140</v>
      </c>
      <c r="F39" s="7">
        <f>Habitat!$D$22*D39</f>
        <v>11.279245283018868</v>
      </c>
      <c r="G39" s="3">
        <f t="shared" si="0"/>
        <v>0</v>
      </c>
      <c r="H39" s="3">
        <f t="shared" si="8"/>
        <v>0</v>
      </c>
      <c r="I39" s="47">
        <f t="shared" si="9"/>
        <v>0</v>
      </c>
      <c r="J39" s="48">
        <f>IF(C39=1,I39*Habitat!$I$36,0)+IF(C39=2,I39*Habitat!$J$36,0)+IF(C39=3,I39*Habitat!$K$36,0)+IF(C39=4,I39*Habitat!$L$36,0)+IF(C39=5,I39*Habitat!$M$36,0)</f>
        <v>0</v>
      </c>
      <c r="K39" s="48">
        <f>IF(C39=1,I39*Habitat!$I$35,0)+IF(C39=2,I39*Habitat!$J$35,0)+IF(C39=3,I39*Habitat!$K$35,0)+IF(C39=4,I39*Habitat!$L$35,0)+IF(C39=5,I39*Habitat!$M$35,0)</f>
        <v>0</v>
      </c>
      <c r="L39" s="48">
        <f>IF(C39=1,I39*Habitat!$I$34,0)+IF(C39=2,I39*Habitat!$J$34,0)+IF(C39=3,I39*Habitat!$K$34,0)+IF(C39=4,I39*Habitat!$L$34,0)+IF(C39=5,I39*Habitat!$M$34,0)+IF(C39=6,I39*Habitat!$N$34,0)</f>
        <v>0</v>
      </c>
      <c r="M39" s="48">
        <f>IF(C39=1,I39*Habitat!$I$37,0)+IF(C39=2,I39*Habitat!$J$37,0)+IF(C39=3,I39*Habitat!$K$37,0)+IF(C39=4,I39*Habitat!$L$37,0)+IF(C39=5,I39*Habitat!$M$37,0)</f>
        <v>0</v>
      </c>
      <c r="N39" s="48">
        <f>IF(C39=1,I39*Habitat!$I$38,0)+IF(C39=2,I39*Habitat!$J$38,0)+IF(C39=3,I39*Habitat!$K$38,0)+IF(C39=4,I39*Habitat!$L$38,0)+IF(C39=5,I39*Habitat!$M$38,0)*IF(C39=7,I39*Habitat!$O$38,0)</f>
        <v>0</v>
      </c>
      <c r="O39">
        <f>IF(C39=1,I39*Habitat!$I$39,0)+IF(C39=2,I39*Habitat!$J$39,0)+IF(C39=3,I39*Habitat!$K$39,0)+IF(C39=4,I39*Habitat!$L$39,0)+IF(C39=5,I39*Habitat!$M$39,0)</f>
        <v>0</v>
      </c>
    </row>
    <row r="40" spans="1:15">
      <c r="A40" s="5">
        <f t="shared" si="1"/>
        <v>29</v>
      </c>
      <c r="B40" s="5">
        <f t="shared" si="5"/>
        <v>-24</v>
      </c>
      <c r="C40" s="5">
        <f t="shared" si="3"/>
        <v>3</v>
      </c>
      <c r="D40" s="56">
        <f t="shared" si="6"/>
        <v>920</v>
      </c>
      <c r="E40" s="48">
        <f t="shared" si="7"/>
        <v>145</v>
      </c>
      <c r="F40" s="7">
        <f>Habitat!$D$22*D40</f>
        <v>11.340880503144653</v>
      </c>
      <c r="G40" s="3">
        <f t="shared" si="0"/>
        <v>0</v>
      </c>
      <c r="H40" s="3">
        <f t="shared" si="8"/>
        <v>0</v>
      </c>
      <c r="I40" s="47">
        <f t="shared" si="9"/>
        <v>0</v>
      </c>
      <c r="J40" s="48">
        <f>IF(C40=1,I40*Habitat!$I$36,0)+IF(C40=2,I40*Habitat!$J$36,0)+IF(C40=3,I40*Habitat!$K$36,0)+IF(C40=4,I40*Habitat!$L$36,0)+IF(C40=5,I40*Habitat!$M$36,0)</f>
        <v>0</v>
      </c>
      <c r="K40" s="48">
        <f>IF(C40=1,I40*Habitat!$I$35,0)+IF(C40=2,I40*Habitat!$J$35,0)+IF(C40=3,I40*Habitat!$K$35,0)+IF(C40=4,I40*Habitat!$L$35,0)+IF(C40=5,I40*Habitat!$M$35,0)</f>
        <v>0</v>
      </c>
      <c r="L40" s="48">
        <f>IF(C40=1,I40*Habitat!$I$34,0)+IF(C40=2,I40*Habitat!$J$34,0)+IF(C40=3,I40*Habitat!$K$34,0)+IF(C40=4,I40*Habitat!$L$34,0)+IF(C40=5,I40*Habitat!$M$34,0)+IF(C40=6,I40*Habitat!$N$34,0)</f>
        <v>0</v>
      </c>
      <c r="M40" s="48">
        <f>IF(C40=1,I40*Habitat!$I$37,0)+IF(C40=2,I40*Habitat!$J$37,0)+IF(C40=3,I40*Habitat!$K$37,0)+IF(C40=4,I40*Habitat!$L$37,0)+IF(C40=5,I40*Habitat!$M$37,0)</f>
        <v>0</v>
      </c>
      <c r="N40" s="48">
        <f>IF(C40=1,I40*Habitat!$I$38,0)+IF(C40=2,I40*Habitat!$J$38,0)+IF(C40=3,I40*Habitat!$K$38,0)+IF(C40=4,I40*Habitat!$L$38,0)+IF(C40=5,I40*Habitat!$M$38,0)*IF(C40=7,I40*Habitat!$O$38,0)</f>
        <v>0</v>
      </c>
      <c r="O40">
        <f>IF(C40=1,I40*Habitat!$I$39,0)+IF(C40=2,I40*Habitat!$J$39,0)+IF(C40=3,I40*Habitat!$K$39,0)+IF(C40=4,I40*Habitat!$L$39,0)+IF(C40=5,I40*Habitat!$M$39,0)</f>
        <v>0</v>
      </c>
    </row>
    <row r="41" spans="1:15">
      <c r="A41" s="5">
        <f t="shared" si="1"/>
        <v>30</v>
      </c>
      <c r="B41" s="5">
        <f t="shared" si="5"/>
        <v>-25</v>
      </c>
      <c r="C41" s="5">
        <f t="shared" si="3"/>
        <v>3</v>
      </c>
      <c r="D41" s="56">
        <f t="shared" si="6"/>
        <v>925</v>
      </c>
      <c r="E41" s="48">
        <f t="shared" si="7"/>
        <v>150</v>
      </c>
      <c r="F41" s="7">
        <f>Habitat!$D$22*D41</f>
        <v>11.40251572327044</v>
      </c>
      <c r="G41" s="3">
        <f t="shared" si="0"/>
        <v>0</v>
      </c>
      <c r="H41" s="3">
        <f t="shared" si="8"/>
        <v>0</v>
      </c>
      <c r="I41" s="47">
        <f t="shared" si="9"/>
        <v>0</v>
      </c>
      <c r="J41" s="48">
        <f>IF(C41=1,I41*Habitat!$I$36,0)+IF(C41=2,I41*Habitat!$J$36,0)+IF(C41=3,I41*Habitat!$K$36,0)+IF(C41=4,I41*Habitat!$L$36,0)+IF(C41=5,I41*Habitat!$M$36,0)</f>
        <v>0</v>
      </c>
      <c r="K41" s="48">
        <f>IF(C41=1,I41*Habitat!$I$35,0)+IF(C41=2,I41*Habitat!$J$35,0)+IF(C41=3,I41*Habitat!$K$35,0)+IF(C41=4,I41*Habitat!$L$35,0)+IF(C41=5,I41*Habitat!$M$35,0)</f>
        <v>0</v>
      </c>
      <c r="L41" s="48">
        <f>IF(C41=1,I41*Habitat!$I$34,0)+IF(C41=2,I41*Habitat!$J$34,0)+IF(C41=3,I41*Habitat!$K$34,0)+IF(C41=4,I41*Habitat!$L$34,0)+IF(C41=5,I41*Habitat!$M$34,0)+IF(C41=6,I41*Habitat!$N$34,0)</f>
        <v>0</v>
      </c>
      <c r="M41" s="48">
        <f>IF(C41=1,I41*Habitat!$I$37,0)+IF(C41=2,I41*Habitat!$J$37,0)+IF(C41=3,I41*Habitat!$K$37,0)+IF(C41=4,I41*Habitat!$L$37,0)+IF(C41=5,I41*Habitat!$M$37,0)</f>
        <v>0</v>
      </c>
      <c r="N41" s="48">
        <f>IF(C41=1,I41*Habitat!$I$38,0)+IF(C41=2,I41*Habitat!$J$38,0)+IF(C41=3,I41*Habitat!$K$38,0)+IF(C41=4,I41*Habitat!$L$38,0)+IF(C41=5,I41*Habitat!$M$38,0)*IF(C41=7,I41*Habitat!$O$38,0)</f>
        <v>0</v>
      </c>
      <c r="O41">
        <f>IF(C41=1,I41*Habitat!$I$39,0)+IF(C41=2,I41*Habitat!$J$39,0)+IF(C41=3,I41*Habitat!$K$39,0)+IF(C41=4,I41*Habitat!$L$39,0)+IF(C41=5,I41*Habitat!$M$39,0)</f>
        <v>0</v>
      </c>
    </row>
    <row r="42" spans="1:15">
      <c r="A42" s="5">
        <f t="shared" si="1"/>
        <v>31</v>
      </c>
      <c r="B42" s="5">
        <f t="shared" si="5"/>
        <v>-26</v>
      </c>
      <c r="C42" s="5">
        <f t="shared" si="3"/>
        <v>3</v>
      </c>
      <c r="D42" s="56">
        <f t="shared" si="6"/>
        <v>930</v>
      </c>
      <c r="E42" s="48">
        <f t="shared" si="7"/>
        <v>155</v>
      </c>
      <c r="F42" s="7">
        <f>Habitat!$D$22*D42</f>
        <v>11.464150943396227</v>
      </c>
      <c r="G42" s="3">
        <f t="shared" si="0"/>
        <v>0</v>
      </c>
      <c r="H42" s="3">
        <f t="shared" si="8"/>
        <v>0</v>
      </c>
      <c r="I42" s="47">
        <f t="shared" si="9"/>
        <v>0</v>
      </c>
      <c r="J42" s="48">
        <f>IF(C42=1,I42*Habitat!$I$36,0)+IF(C42=2,I42*Habitat!$J$36,0)+IF(C42=3,I42*Habitat!$K$36,0)+IF(C42=4,I42*Habitat!$L$36,0)+IF(C42=5,I42*Habitat!$M$36,0)</f>
        <v>0</v>
      </c>
      <c r="K42" s="48">
        <f>IF(C42=1,I42*Habitat!$I$35,0)+IF(C42=2,I42*Habitat!$J$35,0)+IF(C42=3,I42*Habitat!$K$35,0)+IF(C42=4,I42*Habitat!$L$35,0)+IF(C42=5,I42*Habitat!$M$35,0)</f>
        <v>0</v>
      </c>
      <c r="L42" s="48">
        <f>IF(C42=1,I42*Habitat!$I$34,0)+IF(C42=2,I42*Habitat!$J$34,0)+IF(C42=3,I42*Habitat!$K$34,0)+IF(C42=4,I42*Habitat!$L$34,0)+IF(C42=5,I42*Habitat!$M$34,0)+IF(C42=6,I42*Habitat!$N$34,0)</f>
        <v>0</v>
      </c>
      <c r="M42" s="48">
        <f>IF(C42=1,I42*Habitat!$I$37,0)+IF(C42=2,I42*Habitat!$J$37,0)+IF(C42=3,I42*Habitat!$K$37,0)+IF(C42=4,I42*Habitat!$L$37,0)+IF(C42=5,I42*Habitat!$M$37,0)</f>
        <v>0</v>
      </c>
      <c r="N42" s="48">
        <f>IF(C42=1,I42*Habitat!$I$38,0)+IF(C42=2,I42*Habitat!$J$38,0)+IF(C42=3,I42*Habitat!$K$38,0)+IF(C42=4,I42*Habitat!$L$38,0)+IF(C42=5,I42*Habitat!$M$38,0)*IF(C42=7,I42*Habitat!$O$38,0)</f>
        <v>0</v>
      </c>
      <c r="O42">
        <f>IF(C42=1,I42*Habitat!$I$39,0)+IF(C42=2,I42*Habitat!$J$39,0)+IF(C42=3,I42*Habitat!$K$39,0)+IF(C42=4,I42*Habitat!$L$39,0)+IF(C42=5,I42*Habitat!$M$39,0)</f>
        <v>0</v>
      </c>
    </row>
    <row r="43" spans="1:15">
      <c r="A43" s="5">
        <f t="shared" si="1"/>
        <v>32</v>
      </c>
      <c r="B43" s="5">
        <f t="shared" si="5"/>
        <v>-27</v>
      </c>
      <c r="C43" s="5">
        <f t="shared" si="3"/>
        <v>3</v>
      </c>
      <c r="D43" s="56">
        <f t="shared" si="6"/>
        <v>935</v>
      </c>
      <c r="E43" s="48">
        <f t="shared" si="7"/>
        <v>160</v>
      </c>
      <c r="F43" s="7">
        <f>Habitat!$D$22*D43</f>
        <v>11.525786163522012</v>
      </c>
      <c r="G43" s="3">
        <f t="shared" si="0"/>
        <v>0</v>
      </c>
      <c r="H43" s="3">
        <f t="shared" si="8"/>
        <v>0</v>
      </c>
      <c r="I43" s="47">
        <f t="shared" si="9"/>
        <v>0</v>
      </c>
      <c r="J43" s="48">
        <f>IF(C43=1,I43*Habitat!$I$36,0)+IF(C43=2,I43*Habitat!$J$36,0)+IF(C43=3,I43*Habitat!$K$36,0)+IF(C43=4,I43*Habitat!$L$36,0)+IF(C43=5,I43*Habitat!$M$36,0)</f>
        <v>0</v>
      </c>
      <c r="K43" s="48">
        <f>IF(C43=1,I43*Habitat!$I$35,0)+IF(C43=2,I43*Habitat!$J$35,0)+IF(C43=3,I43*Habitat!$K$35,0)+IF(C43=4,I43*Habitat!$L$35,0)+IF(C43=5,I43*Habitat!$M$35,0)</f>
        <v>0</v>
      </c>
      <c r="L43" s="48">
        <f>IF(C43=1,I43*Habitat!$I$34,0)+IF(C43=2,I43*Habitat!$J$34,0)+IF(C43=3,I43*Habitat!$K$34,0)+IF(C43=4,I43*Habitat!$L$34,0)+IF(C43=5,I43*Habitat!$M$34,0)+IF(C43=6,I43*Habitat!$N$34,0)</f>
        <v>0</v>
      </c>
      <c r="M43" s="48">
        <f>IF(C43=1,I43*Habitat!$I$37,0)+IF(C43=2,I43*Habitat!$J$37,0)+IF(C43=3,I43*Habitat!$K$37,0)+IF(C43=4,I43*Habitat!$L$37,0)+IF(C43=5,I43*Habitat!$M$37,0)</f>
        <v>0</v>
      </c>
      <c r="N43" s="48">
        <f>IF(C43=1,I43*Habitat!$I$38,0)+IF(C43=2,I43*Habitat!$J$38,0)+IF(C43=3,I43*Habitat!$K$38,0)+IF(C43=4,I43*Habitat!$L$38,0)+IF(C43=5,I43*Habitat!$M$38,0)*IF(C43=7,I43*Habitat!$O$38,0)</f>
        <v>0</v>
      </c>
      <c r="O43">
        <f>IF(C43=1,I43*Habitat!$I$39,0)+IF(C43=2,I43*Habitat!$J$39,0)+IF(C43=3,I43*Habitat!$K$39,0)+IF(C43=4,I43*Habitat!$L$39,0)+IF(C43=5,I43*Habitat!$M$39,0)</f>
        <v>0</v>
      </c>
    </row>
    <row r="44" spans="1:15">
      <c r="A44" s="5">
        <f t="shared" si="1"/>
        <v>33</v>
      </c>
      <c r="B44" s="5">
        <f t="shared" si="5"/>
        <v>-28</v>
      </c>
      <c r="C44" s="5">
        <f t="shared" si="3"/>
        <v>3</v>
      </c>
      <c r="D44" s="56">
        <f t="shared" si="6"/>
        <v>940</v>
      </c>
      <c r="E44" s="48">
        <f t="shared" si="7"/>
        <v>165</v>
      </c>
      <c r="F44" s="7">
        <f>Habitat!$D$22*D44</f>
        <v>11.587421383647799</v>
      </c>
      <c r="G44" s="3">
        <f t="shared" si="0"/>
        <v>0</v>
      </c>
      <c r="H44" s="3">
        <f t="shared" si="8"/>
        <v>0</v>
      </c>
      <c r="I44" s="47">
        <f t="shared" si="9"/>
        <v>0</v>
      </c>
      <c r="J44" s="48">
        <f>IF(C44=1,I44*Habitat!$I$36,0)+IF(C44=2,I44*Habitat!$J$36,0)+IF(C44=3,I44*Habitat!$K$36,0)+IF(C44=4,I44*Habitat!$L$36,0)+IF(C44=5,I44*Habitat!$M$36,0)</f>
        <v>0</v>
      </c>
      <c r="K44" s="48">
        <f>IF(C44=1,I44*Habitat!$I$35,0)+IF(C44=2,I44*Habitat!$J$35,0)+IF(C44=3,I44*Habitat!$K$35,0)+IF(C44=4,I44*Habitat!$L$35,0)+IF(C44=5,I44*Habitat!$M$35,0)</f>
        <v>0</v>
      </c>
      <c r="L44" s="48">
        <f>IF(C44=1,I44*Habitat!$I$34,0)+IF(C44=2,I44*Habitat!$J$34,0)+IF(C44=3,I44*Habitat!$K$34,0)+IF(C44=4,I44*Habitat!$L$34,0)+IF(C44=5,I44*Habitat!$M$34,0)+IF(C44=6,I44*Habitat!$N$34,0)</f>
        <v>0</v>
      </c>
      <c r="M44" s="48">
        <f>IF(C44=1,I44*Habitat!$I$37,0)+IF(C44=2,I44*Habitat!$J$37,0)+IF(C44=3,I44*Habitat!$K$37,0)+IF(C44=4,I44*Habitat!$L$37,0)+IF(C44=5,I44*Habitat!$M$37,0)</f>
        <v>0</v>
      </c>
      <c r="N44" s="48">
        <f>IF(C44=1,I44*Habitat!$I$38,0)+IF(C44=2,I44*Habitat!$J$38,0)+IF(C44=3,I44*Habitat!$K$38,0)+IF(C44=4,I44*Habitat!$L$38,0)+IF(C44=5,I44*Habitat!$M$38,0)*IF(C44=7,I44*Habitat!$O$38,0)</f>
        <v>0</v>
      </c>
      <c r="O44">
        <f>IF(C44=1,I44*Habitat!$I$39,0)+IF(C44=2,I44*Habitat!$J$39,0)+IF(C44=3,I44*Habitat!$K$39,0)+IF(C44=4,I44*Habitat!$L$39,0)+IF(C44=5,I44*Habitat!$M$39,0)</f>
        <v>0</v>
      </c>
    </row>
    <row r="45" spans="1:15">
      <c r="A45" s="5">
        <f t="shared" si="1"/>
        <v>34</v>
      </c>
      <c r="B45" s="5">
        <f t="shared" si="5"/>
        <v>-29</v>
      </c>
      <c r="C45" s="5">
        <f t="shared" si="3"/>
        <v>3</v>
      </c>
      <c r="D45" s="56">
        <f t="shared" si="6"/>
        <v>945</v>
      </c>
      <c r="E45" s="48">
        <f t="shared" si="7"/>
        <v>170</v>
      </c>
      <c r="F45" s="7">
        <f>Habitat!$D$22*D45</f>
        <v>11.649056603773586</v>
      </c>
      <c r="G45" s="3">
        <f t="shared" si="0"/>
        <v>0</v>
      </c>
      <c r="H45" s="3">
        <f t="shared" si="8"/>
        <v>0</v>
      </c>
      <c r="I45" s="47">
        <f t="shared" si="9"/>
        <v>0</v>
      </c>
      <c r="J45" s="48">
        <f>IF(C45=1,I45*Habitat!$I$36,0)+IF(C45=2,I45*Habitat!$J$36,0)+IF(C45=3,I45*Habitat!$K$36,0)+IF(C45=4,I45*Habitat!$L$36,0)+IF(C45=5,I45*Habitat!$M$36,0)</f>
        <v>0</v>
      </c>
      <c r="K45" s="48">
        <f>IF(C45=1,I45*Habitat!$I$35,0)+IF(C45=2,I45*Habitat!$J$35,0)+IF(C45=3,I45*Habitat!$K$35,0)+IF(C45=4,I45*Habitat!$L$35,0)+IF(C45=5,I45*Habitat!$M$35,0)</f>
        <v>0</v>
      </c>
      <c r="L45" s="48">
        <f>IF(C45=1,I45*Habitat!$I$34,0)+IF(C45=2,I45*Habitat!$J$34,0)+IF(C45=3,I45*Habitat!$K$34,0)+IF(C45=4,I45*Habitat!$L$34,0)+IF(C45=5,I45*Habitat!$M$34,0)+IF(C45=6,I45*Habitat!$N$34,0)</f>
        <v>0</v>
      </c>
      <c r="M45" s="48">
        <f>IF(C45=1,I45*Habitat!$I$37,0)+IF(C45=2,I45*Habitat!$J$37,0)+IF(C45=3,I45*Habitat!$K$37,0)+IF(C45=4,I45*Habitat!$L$37,0)+IF(C45=5,I45*Habitat!$M$37,0)</f>
        <v>0</v>
      </c>
      <c r="N45" s="48">
        <f>IF(C45=1,I45*Habitat!$I$38,0)+IF(C45=2,I45*Habitat!$J$38,0)+IF(C45=3,I45*Habitat!$K$38,0)+IF(C45=4,I45*Habitat!$L$38,0)+IF(C45=5,I45*Habitat!$M$38,0)*IF(C45=7,I45*Habitat!$O$38,0)</f>
        <v>0</v>
      </c>
      <c r="O45">
        <f>IF(C45=1,I45*Habitat!$I$39,0)+IF(C45=2,I45*Habitat!$J$39,0)+IF(C45=3,I45*Habitat!$K$39,0)+IF(C45=4,I45*Habitat!$L$39,0)+IF(C45=5,I45*Habitat!$M$39,0)</f>
        <v>0</v>
      </c>
    </row>
    <row r="46" spans="1:15">
      <c r="A46" s="5">
        <f t="shared" si="1"/>
        <v>35</v>
      </c>
      <c r="B46" s="5">
        <f t="shared" si="5"/>
        <v>-30</v>
      </c>
      <c r="C46" s="5">
        <f t="shared" si="3"/>
        <v>3</v>
      </c>
      <c r="D46" s="56">
        <f t="shared" si="6"/>
        <v>950</v>
      </c>
      <c r="E46" s="48">
        <f t="shared" si="7"/>
        <v>175</v>
      </c>
      <c r="F46" s="7">
        <f>Habitat!$D$22*D46</f>
        <v>11.710691823899371</v>
      </c>
      <c r="G46" s="3">
        <f t="shared" si="0"/>
        <v>0</v>
      </c>
      <c r="H46" s="3">
        <f t="shared" si="8"/>
        <v>0</v>
      </c>
      <c r="I46" s="47">
        <f t="shared" si="9"/>
        <v>0</v>
      </c>
      <c r="J46" s="48">
        <f>IF(C46=1,I46*Habitat!$I$36,0)+IF(C46=2,I46*Habitat!$J$36,0)+IF(C46=3,I46*Habitat!$K$36,0)+IF(C46=4,I46*Habitat!$L$36,0)+IF(C46=5,I46*Habitat!$M$36,0)</f>
        <v>0</v>
      </c>
      <c r="K46" s="48">
        <f>IF(C46=1,I46*Habitat!$I$35,0)+IF(C46=2,I46*Habitat!$J$35,0)+IF(C46=3,I46*Habitat!$K$35,0)+IF(C46=4,I46*Habitat!$L$35,0)+IF(C46=5,I46*Habitat!$M$35,0)</f>
        <v>0</v>
      </c>
      <c r="L46" s="48">
        <f>IF(C46=1,I46*Habitat!$I$34,0)+IF(C46=2,I46*Habitat!$J$34,0)+IF(C46=3,I46*Habitat!$K$34,0)+IF(C46=4,I46*Habitat!$L$34,0)+IF(C46=5,I46*Habitat!$M$34,0)+IF(C46=6,I46*Habitat!$N$34,0)</f>
        <v>0</v>
      </c>
      <c r="M46" s="48">
        <f>IF(C46=1,I46*Habitat!$I$37,0)+IF(C46=2,I46*Habitat!$J$37,0)+IF(C46=3,I46*Habitat!$K$37,0)+IF(C46=4,I46*Habitat!$L$37,0)+IF(C46=5,I46*Habitat!$M$37,0)</f>
        <v>0</v>
      </c>
      <c r="N46" s="48">
        <f>IF(C46=1,I46*Habitat!$I$38,0)+IF(C46=2,I46*Habitat!$J$38,0)+IF(C46=3,I46*Habitat!$K$38,0)+IF(C46=4,I46*Habitat!$L$38,0)+IF(C46=5,I46*Habitat!$M$38,0)*IF(C46=7,I46*Habitat!$O$38,0)</f>
        <v>0</v>
      </c>
      <c r="O46">
        <f>IF(C46=1,I46*Habitat!$I$39,0)+IF(C46=2,I46*Habitat!$J$39,0)+IF(C46=3,I46*Habitat!$K$39,0)+IF(C46=4,I46*Habitat!$L$39,0)+IF(C46=5,I46*Habitat!$M$39,0)</f>
        <v>0</v>
      </c>
    </row>
    <row r="47" spans="1:15">
      <c r="A47">
        <f t="shared" ref="A45:A76" si="10">A46+1</f>
        <v>36</v>
      </c>
      <c r="B47" s="5">
        <f t="shared" ref="B13:B70" si="11">FLOOR(ABS($C$7+$C$5-D47),1)</f>
        <v>44</v>
      </c>
      <c r="C47" s="5">
        <v>3</v>
      </c>
      <c r="D47" s="56">
        <f t="shared" ref="D13:D76" si="12">D46+IF(C47=2,2*$C$3,$C$3)</f>
        <v>955</v>
      </c>
      <c r="E47" s="48">
        <f t="shared" ref="E47:E110" si="13">IF(D47&lt;=$C$7,D46-$C$7,D47-$C$7)</f>
        <v>180</v>
      </c>
      <c r="F47" s="7">
        <f>Habitat!$D$22*D47</f>
        <v>11.772327044025158</v>
      </c>
      <c r="G47" s="3">
        <f t="shared" si="0"/>
        <v>0</v>
      </c>
      <c r="H47" s="3">
        <f>IF(D47&lt;$C$7,0,IF(D47&gt;$C$6,0,1))</f>
        <v>0</v>
      </c>
      <c r="I47" s="47">
        <f>PI()*D47*D47*$C$9*H47</f>
        <v>0</v>
      </c>
      <c r="J47" s="48">
        <f>IF(C47=1,I47*Habitat!$I$36,0)+IF(C47=2,I47*Habitat!$J$36,0)+IF(C47=3,I47*Habitat!$K$36,0)+IF(C47=4,I47*Habitat!$L$36,0)+IF(C47=5,I47*Habitat!$M$36,0)</f>
        <v>0</v>
      </c>
      <c r="K47" s="48">
        <f>IF(C47=1,I47*Habitat!$I$35,0)+IF(C47=2,I47*Habitat!$J$35,0)+IF(C47=3,I47*Habitat!$K$35,0)+IF(C47=4,I47*Habitat!$L$35,0)+IF(C47=5,I47*Habitat!$M$35,0)</f>
        <v>0</v>
      </c>
      <c r="L47" s="48">
        <f>IF(C47=1,I47*Habitat!$I$34,0)+IF(C47=2,I47*Habitat!$J$34,0)+IF(C47=3,I47*Habitat!$K$34,0)+IF(C47=4,I47*Habitat!$L$34,0)+IF(C47=5,I47*Habitat!$M$34,0)+IF(C47=6,I47*Habitat!$N$34,0)</f>
        <v>0</v>
      </c>
      <c r="M47" s="48">
        <f>IF(C47=1,I47*Habitat!$I$37,0)+IF(C47=2,I47*Habitat!$J$37,0)+IF(C47=3,I47*Habitat!$K$37,0)+IF(C47=4,I47*Habitat!$L$37,0)+IF(C47=5,I47*Habitat!$M$37,0)</f>
        <v>0</v>
      </c>
      <c r="N47" s="48">
        <f>IF(C47=1,I47*Habitat!$I$38,0)+IF(C47=2,I47*Habitat!$J$38,0)+IF(C47=3,I47*Habitat!$K$38,0)+IF(C47=4,I47*Habitat!$L$38,0)+IF(C47=5,I47*Habitat!$M$38,0)*IF(C47=7,I47*Habitat!$O$38,0)</f>
        <v>0</v>
      </c>
      <c r="O47">
        <f>IF(C47=1,I47*Habitat!$I$39,0)+IF(C47=2,I47*Habitat!$J$39,0)+IF(C47=3,I47*Habitat!$K$39,0)+IF(C47=4,I47*Habitat!$L$39,0)+IF(C47=5,I47*Habitat!$M$39,0)</f>
        <v>0</v>
      </c>
    </row>
    <row r="48" spans="1:15">
      <c r="A48">
        <f t="shared" si="10"/>
        <v>37</v>
      </c>
      <c r="B48" s="5">
        <f t="shared" si="11"/>
        <v>49</v>
      </c>
      <c r="C48" s="5">
        <v>3</v>
      </c>
      <c r="D48" s="56">
        <f t="shared" si="12"/>
        <v>960</v>
      </c>
      <c r="E48" s="48">
        <f t="shared" si="13"/>
        <v>185</v>
      </c>
      <c r="F48" s="7">
        <f>Habitat!$D$22*D48</f>
        <v>11.833962264150944</v>
      </c>
      <c r="G48" s="3">
        <f t="shared" si="0"/>
        <v>0</v>
      </c>
      <c r="H48" s="3">
        <f>IF(D48&lt;$C$7,0,IF(D48&gt;$C$6,0,1))</f>
        <v>0</v>
      </c>
      <c r="I48" s="47">
        <f>PI()*D48*D48*$C$9*H48</f>
        <v>0</v>
      </c>
      <c r="J48" s="48">
        <f>IF(C48=1,I48*Habitat!$I$36,0)+IF(C48=2,I48*Habitat!$J$36,0)+IF(C48=3,I48*Habitat!$K$36,0)+IF(C48=4,I48*Habitat!$L$36,0)+IF(C48=5,I48*Habitat!$M$36,0)</f>
        <v>0</v>
      </c>
      <c r="K48" s="48">
        <f>IF(C48=1,I48*Habitat!$I$35,0)+IF(C48=2,I48*Habitat!$J$35,0)+IF(C48=3,I48*Habitat!$K$35,0)+IF(C48=4,I48*Habitat!$L$35,0)+IF(C48=5,I48*Habitat!$M$35,0)</f>
        <v>0</v>
      </c>
      <c r="L48" s="48">
        <f>IF(C48=1,I48*Habitat!$I$34,0)+IF(C48=2,I48*Habitat!$J$34,0)+IF(C48=3,I48*Habitat!$K$34,0)+IF(C48=4,I48*Habitat!$L$34,0)+IF(C48=5,I48*Habitat!$M$34,0)+IF(C48=6,I48*Habitat!$N$34,0)</f>
        <v>0</v>
      </c>
      <c r="M48" s="48">
        <f>IF(C48=1,I48*Habitat!$I$37,0)+IF(C48=2,I48*Habitat!$J$37,0)+IF(C48=3,I48*Habitat!$K$37,0)+IF(C48=4,I48*Habitat!$L$37,0)+IF(C48=5,I48*Habitat!$M$37,0)</f>
        <v>0</v>
      </c>
      <c r="N48" s="48">
        <f>IF(C48=1,I48*Habitat!$I$38,0)+IF(C48=2,I48*Habitat!$J$38,0)+IF(C48=3,I48*Habitat!$K$38,0)+IF(C48=4,I48*Habitat!$L$38,0)+IF(C48=5,I48*Habitat!$M$38,0)*IF(C48=7,I48*Habitat!$O$38,0)</f>
        <v>0</v>
      </c>
      <c r="O48">
        <f>IF(C48=1,I48*Habitat!$I$39,0)+IF(C48=2,I48*Habitat!$J$39,0)+IF(C48=3,I48*Habitat!$K$39,0)+IF(C48=4,I48*Habitat!$L$39,0)+IF(C48=5,I48*Habitat!$M$39,0)</f>
        <v>0</v>
      </c>
    </row>
    <row r="49" spans="1:15">
      <c r="A49">
        <f t="shared" si="10"/>
        <v>38</v>
      </c>
      <c r="B49" s="5">
        <f t="shared" si="11"/>
        <v>54</v>
      </c>
      <c r="C49" s="5">
        <v>3</v>
      </c>
      <c r="D49" s="56">
        <f t="shared" si="12"/>
        <v>965</v>
      </c>
      <c r="E49" s="48">
        <f t="shared" si="13"/>
        <v>190</v>
      </c>
      <c r="F49" s="7">
        <f>Habitat!$D$22*D49</f>
        <v>11.895597484276729</v>
      </c>
      <c r="G49" s="3">
        <f t="shared" si="0"/>
        <v>0</v>
      </c>
      <c r="H49" s="3">
        <f>IF(D49&lt;$C$7,0,IF(D49&gt;$C$6,0,1))</f>
        <v>0</v>
      </c>
      <c r="I49" s="47">
        <f>PI()*D49*D49*$C$9*H49</f>
        <v>0</v>
      </c>
      <c r="J49" s="48">
        <f>IF(C49=1,I49*Habitat!$I$36,0)+IF(C49=2,I49*Habitat!$J$36,0)+IF(C49=3,I49*Habitat!$K$36,0)+IF(C49=4,I49*Habitat!$L$36,0)+IF(C49=5,I49*Habitat!$M$36,0)</f>
        <v>0</v>
      </c>
      <c r="K49" s="48">
        <f>IF(C49=1,I49*Habitat!$I$35,0)+IF(C49=2,I49*Habitat!$J$35,0)+IF(C49=3,I49*Habitat!$K$35,0)+IF(C49=4,I49*Habitat!$L$35,0)+IF(C49=5,I49*Habitat!$M$35,0)</f>
        <v>0</v>
      </c>
      <c r="L49" s="48">
        <f>IF(C49=1,I49*Habitat!$I$34,0)+IF(C49=2,I49*Habitat!$J$34,0)+IF(C49=3,I49*Habitat!$K$34,0)+IF(C49=4,I49*Habitat!$L$34,0)+IF(C49=5,I49*Habitat!$M$34,0)+IF(C49=6,I49*Habitat!$N$34,0)</f>
        <v>0</v>
      </c>
      <c r="M49" s="48">
        <f>IF(C49=1,I49*Habitat!$I$37,0)+IF(C49=2,I49*Habitat!$J$37,0)+IF(C49=3,I49*Habitat!$K$37,0)+IF(C49=4,I49*Habitat!$L$37,0)+IF(C49=5,I49*Habitat!$M$37,0)</f>
        <v>0</v>
      </c>
      <c r="N49" s="48">
        <f>IF(C49=1,I49*Habitat!$I$38,0)+IF(C49=2,I49*Habitat!$J$38,0)+IF(C49=3,I49*Habitat!$K$38,0)+IF(C49=4,I49*Habitat!$L$38,0)+IF(C49=5,I49*Habitat!$M$38,0)*IF(C49=7,I49*Habitat!$O$38,0)</f>
        <v>0</v>
      </c>
      <c r="O49">
        <f>IF(C49=1,I49*Habitat!$I$39,0)+IF(C49=2,I49*Habitat!$J$39,0)+IF(C49=3,I49*Habitat!$K$39,0)+IF(C49=4,I49*Habitat!$L$39,0)+IF(C49=5,I49*Habitat!$M$39,0)</f>
        <v>0</v>
      </c>
    </row>
    <row r="50" spans="1:15">
      <c r="A50">
        <f t="shared" si="10"/>
        <v>39</v>
      </c>
      <c r="B50" s="5">
        <f t="shared" si="11"/>
        <v>59</v>
      </c>
      <c r="C50" s="5">
        <v>3</v>
      </c>
      <c r="D50" s="56">
        <f t="shared" si="12"/>
        <v>970</v>
      </c>
      <c r="E50" s="48">
        <f t="shared" si="13"/>
        <v>195</v>
      </c>
      <c r="F50" s="7">
        <f>Habitat!$D$22*D50</f>
        <v>11.957232704402516</v>
      </c>
      <c r="G50" s="3">
        <f t="shared" si="0"/>
        <v>0</v>
      </c>
      <c r="H50" s="3">
        <f>IF(D50&lt;$C$7,0,IF(D50&gt;$C$6,0,1))</f>
        <v>0</v>
      </c>
      <c r="I50" s="47">
        <f>PI()*D50*D50*$C$9*H50</f>
        <v>0</v>
      </c>
      <c r="J50" s="48">
        <f>IF(C50=1,I50*Habitat!$I$36,0)+IF(C50=2,I50*Habitat!$J$36,0)+IF(C50=3,I50*Habitat!$K$36,0)+IF(C50=4,I50*Habitat!$L$36,0)+IF(C50=5,I50*Habitat!$M$36,0)</f>
        <v>0</v>
      </c>
      <c r="K50" s="48">
        <f>IF(C50=1,I50*Habitat!$I$35,0)+IF(C50=2,I50*Habitat!$J$35,0)+IF(C50=3,I50*Habitat!$K$35,0)+IF(C50=4,I50*Habitat!$L$35,0)+IF(C50=5,I50*Habitat!$M$35,0)</f>
        <v>0</v>
      </c>
      <c r="L50" s="48">
        <f>IF(C50=1,I50*Habitat!$I$34,0)+IF(C50=2,I50*Habitat!$J$34,0)+IF(C50=3,I50*Habitat!$K$34,0)+IF(C50=4,I50*Habitat!$L$34,0)+IF(C50=5,I50*Habitat!$M$34,0)+IF(C50=6,I50*Habitat!$N$34,0)</f>
        <v>0</v>
      </c>
      <c r="M50" s="48">
        <f>IF(C50=1,I50*Habitat!$I$37,0)+IF(C50=2,I50*Habitat!$J$37,0)+IF(C50=3,I50*Habitat!$K$37,0)+IF(C50=4,I50*Habitat!$L$37,0)+IF(C50=5,I50*Habitat!$M$37,0)</f>
        <v>0</v>
      </c>
      <c r="N50" s="48">
        <f>IF(C50=1,I50*Habitat!$I$38,0)+IF(C50=2,I50*Habitat!$J$38,0)+IF(C50=3,I50*Habitat!$K$38,0)+IF(C50=4,I50*Habitat!$L$38,0)+IF(C50=5,I50*Habitat!$M$38,0)*IF(C50=7,I50*Habitat!$O$38,0)</f>
        <v>0</v>
      </c>
      <c r="O50">
        <f>IF(C50=1,I50*Habitat!$I$39,0)+IF(C50=2,I50*Habitat!$J$39,0)+IF(C50=3,I50*Habitat!$K$39,0)+IF(C50=4,I50*Habitat!$L$39,0)+IF(C50=5,I50*Habitat!$M$39,0)</f>
        <v>0</v>
      </c>
    </row>
    <row r="51" spans="1:15">
      <c r="A51">
        <f t="shared" si="10"/>
        <v>40</v>
      </c>
      <c r="B51" s="5">
        <f t="shared" si="11"/>
        <v>64</v>
      </c>
      <c r="C51" s="5">
        <v>3</v>
      </c>
      <c r="D51" s="56">
        <f t="shared" si="12"/>
        <v>975</v>
      </c>
      <c r="E51" s="48">
        <f t="shared" si="13"/>
        <v>200</v>
      </c>
      <c r="F51" s="7">
        <f>Habitat!$D$22*D51</f>
        <v>12.018867924528301</v>
      </c>
      <c r="G51" s="3">
        <f t="shared" si="0"/>
        <v>0</v>
      </c>
      <c r="H51" s="3">
        <f>IF(D51&lt;$C$7,0,IF(D51&gt;$C$6,0,1))</f>
        <v>0</v>
      </c>
      <c r="I51" s="47">
        <f>PI()*D51*D51*$C$9*H51</f>
        <v>0</v>
      </c>
      <c r="J51" s="48">
        <f>IF(C51=1,I51*Habitat!$I$36,0)+IF(C51=2,I51*Habitat!$J$36,0)+IF(C51=3,I51*Habitat!$K$36,0)+IF(C51=4,I51*Habitat!$L$36,0)+IF(C51=5,I51*Habitat!$M$36,0)</f>
        <v>0</v>
      </c>
      <c r="K51" s="48">
        <f>IF(C51=1,I51*Habitat!$I$35,0)+IF(C51=2,I51*Habitat!$J$35,0)+IF(C51=3,I51*Habitat!$K$35,0)+IF(C51=4,I51*Habitat!$L$35,0)+IF(C51=5,I51*Habitat!$M$35,0)</f>
        <v>0</v>
      </c>
      <c r="L51" s="48">
        <f>IF(C51=1,I51*Habitat!$I$34,0)+IF(C51=2,I51*Habitat!$J$34,0)+IF(C51=3,I51*Habitat!$K$34,0)+IF(C51=4,I51*Habitat!$L$34,0)+IF(C51=5,I51*Habitat!$M$34,0)+IF(C51=6,I51*Habitat!$N$34,0)</f>
        <v>0</v>
      </c>
      <c r="M51" s="48">
        <f>IF(C51=1,I51*Habitat!$I$37,0)+IF(C51=2,I51*Habitat!$J$37,0)+IF(C51=3,I51*Habitat!$K$37,0)+IF(C51=4,I51*Habitat!$L$37,0)+IF(C51=5,I51*Habitat!$M$37,0)</f>
        <v>0</v>
      </c>
      <c r="N51" s="48">
        <f>IF(C51=1,I51*Habitat!$I$38,0)+IF(C51=2,I51*Habitat!$J$38,0)+IF(C51=3,I51*Habitat!$K$38,0)+IF(C51=4,I51*Habitat!$L$38,0)+IF(C51=5,I51*Habitat!$M$38,0)*IF(C51=7,I51*Habitat!$O$38,0)</f>
        <v>0</v>
      </c>
      <c r="O51">
        <f>IF(C51=1,I51*Habitat!$I$39,0)+IF(C51=2,I51*Habitat!$J$39,0)+IF(C51=3,I51*Habitat!$K$39,0)+IF(C51=4,I51*Habitat!$L$39,0)+IF(C51=5,I51*Habitat!$M$39,0)</f>
        <v>0</v>
      </c>
    </row>
    <row r="52" spans="1:15">
      <c r="A52">
        <f t="shared" si="10"/>
        <v>41</v>
      </c>
      <c r="B52" s="5">
        <f t="shared" si="11"/>
        <v>69</v>
      </c>
      <c r="C52" s="5">
        <v>3</v>
      </c>
      <c r="D52" s="56">
        <f t="shared" si="12"/>
        <v>980</v>
      </c>
      <c r="E52" s="48">
        <f t="shared" si="13"/>
        <v>205</v>
      </c>
      <c r="F52" s="7">
        <f>Habitat!$D$22*D52</f>
        <v>12.080503144654088</v>
      </c>
      <c r="G52" s="3">
        <f t="shared" si="0"/>
        <v>0</v>
      </c>
      <c r="H52" s="3">
        <f>IF(D52&lt;$C$7,0,IF(D52&gt;$C$6,0,1))</f>
        <v>0</v>
      </c>
      <c r="I52" s="47">
        <f>PI()*D52*D52*$C$9*H52</f>
        <v>0</v>
      </c>
      <c r="J52" s="48">
        <f>IF(C52=1,I52*Habitat!$I$36,0)+IF(C52=2,I52*Habitat!$J$36,0)+IF(C52=3,I52*Habitat!$K$36,0)+IF(C52=4,I52*Habitat!$L$36,0)+IF(C52=5,I52*Habitat!$M$36,0)</f>
        <v>0</v>
      </c>
      <c r="K52" s="48">
        <f>IF(C52=1,I52*Habitat!$I$35,0)+IF(C52=2,I52*Habitat!$J$35,0)+IF(C52=3,I52*Habitat!$K$35,0)+IF(C52=4,I52*Habitat!$L$35,0)+IF(C52=5,I52*Habitat!$M$35,0)</f>
        <v>0</v>
      </c>
      <c r="L52" s="48">
        <f>IF(C52=1,I52*Habitat!$I$34,0)+IF(C52=2,I52*Habitat!$J$34,0)+IF(C52=3,I52*Habitat!$K$34,0)+IF(C52=4,I52*Habitat!$L$34,0)+IF(C52=5,I52*Habitat!$M$34,0)+IF(C52=6,I52*Habitat!$N$34,0)</f>
        <v>0</v>
      </c>
      <c r="M52" s="48">
        <f>IF(C52=1,I52*Habitat!$I$37,0)+IF(C52=2,I52*Habitat!$J$37,0)+IF(C52=3,I52*Habitat!$K$37,0)+IF(C52=4,I52*Habitat!$L$37,0)+IF(C52=5,I52*Habitat!$M$37,0)</f>
        <v>0</v>
      </c>
      <c r="N52" s="48">
        <f>IF(C52=1,I52*Habitat!$I$38,0)+IF(C52=2,I52*Habitat!$J$38,0)+IF(C52=3,I52*Habitat!$K$38,0)+IF(C52=4,I52*Habitat!$L$38,0)+IF(C52=5,I52*Habitat!$M$38,0)*IF(C52=7,I52*Habitat!$O$38,0)</f>
        <v>0</v>
      </c>
      <c r="O52">
        <f>IF(C52=1,I52*Habitat!$I$39,0)+IF(C52=2,I52*Habitat!$J$39,0)+IF(C52=3,I52*Habitat!$K$39,0)+IF(C52=4,I52*Habitat!$L$39,0)+IF(C52=5,I52*Habitat!$M$39,0)</f>
        <v>0</v>
      </c>
    </row>
    <row r="53" spans="1:15">
      <c r="A53">
        <f t="shared" si="10"/>
        <v>42</v>
      </c>
      <c r="B53" s="5">
        <f t="shared" si="11"/>
        <v>79</v>
      </c>
      <c r="C53" s="5">
        <v>2</v>
      </c>
      <c r="D53" s="56">
        <f t="shared" si="12"/>
        <v>990</v>
      </c>
      <c r="E53" s="48">
        <f t="shared" si="13"/>
        <v>215</v>
      </c>
      <c r="F53" s="7">
        <f>Habitat!$D$22*D53</f>
        <v>12.20377358490566</v>
      </c>
      <c r="G53" s="3">
        <f t="shared" si="0"/>
        <v>0</v>
      </c>
      <c r="H53" s="3">
        <f>IF(D53&lt;$C$7,0,IF(D53&gt;$C$6,0,1))</f>
        <v>0</v>
      </c>
      <c r="I53" s="47">
        <f>PI()*D53*D53*$C$9*H53</f>
        <v>0</v>
      </c>
      <c r="J53" s="48">
        <f>IF(C53=1,I53*Habitat!$I$36,0)+IF(C53=2,I53*Habitat!$J$36,0)+IF(C53=3,I53*Habitat!$K$36,0)+IF(C53=4,I53*Habitat!$L$36,0)+IF(C53=5,I53*Habitat!$M$36,0)</f>
        <v>0</v>
      </c>
      <c r="K53" s="48">
        <f>IF(C53=1,I53*Habitat!$I$35,0)+IF(C53=2,I53*Habitat!$J$35,0)+IF(C53=3,I53*Habitat!$K$35,0)+IF(C53=4,I53*Habitat!$L$35,0)+IF(C53=5,I53*Habitat!$M$35,0)</f>
        <v>0</v>
      </c>
      <c r="L53" s="48">
        <f>IF(C53=1,I53*Habitat!$I$34,0)+IF(C53=2,I53*Habitat!$J$34,0)+IF(C53=3,I53*Habitat!$K$34,0)+IF(C53=4,I53*Habitat!$L$34,0)+IF(C53=5,I53*Habitat!$M$34,0)+IF(C53=6,I53*Habitat!$N$34,0)</f>
        <v>0</v>
      </c>
      <c r="M53" s="48">
        <f>IF(C53=1,I53*Habitat!$I$37,0)+IF(C53=2,I53*Habitat!$J$37,0)+IF(C53=3,I53*Habitat!$K$37,0)+IF(C53=4,I53*Habitat!$L$37,0)+IF(C53=5,I53*Habitat!$M$37,0)</f>
        <v>0</v>
      </c>
      <c r="N53" s="48">
        <f>IF(C53=1,I53*Habitat!$I$38,0)+IF(C53=2,I53*Habitat!$J$38,0)+IF(C53=3,I53*Habitat!$K$38,0)+IF(C53=4,I53*Habitat!$L$38,0)+IF(C53=5,I53*Habitat!$M$38,0)*IF(C53=7,I53*Habitat!$O$38,0)</f>
        <v>0</v>
      </c>
      <c r="O53">
        <f>IF(C53=1,I53*Habitat!$I$39,0)+IF(C53=2,I53*Habitat!$J$39,0)+IF(C53=3,I53*Habitat!$K$39,0)+IF(C53=4,I53*Habitat!$L$39,0)+IF(C53=5,I53*Habitat!$M$39,0)</f>
        <v>0</v>
      </c>
    </row>
    <row r="54" spans="1:15">
      <c r="A54">
        <f t="shared" si="10"/>
        <v>43</v>
      </c>
      <c r="B54" s="5">
        <f t="shared" si="11"/>
        <v>84</v>
      </c>
      <c r="C54" s="5">
        <v>1</v>
      </c>
      <c r="D54" s="56">
        <f t="shared" si="12"/>
        <v>995</v>
      </c>
      <c r="E54" s="48">
        <f t="shared" ref="E54" si="14">IF(D54&lt;=$C$7,D53-$C$7,D54-$C$7)</f>
        <v>220</v>
      </c>
      <c r="F54" s="7">
        <f>Habitat!$D$22*D54</f>
        <v>12.265408805031447</v>
      </c>
      <c r="G54" s="3">
        <f t="shared" si="0"/>
        <v>0</v>
      </c>
      <c r="H54" s="3">
        <f>IF(D54&lt;$C$7,0,IF(D54&gt;$C$6,0,1))</f>
        <v>0</v>
      </c>
      <c r="I54" s="47">
        <f>PI()*D54*D54*$C$9*H54</f>
        <v>0</v>
      </c>
      <c r="J54" s="48">
        <f>IF(C54=1,I54*Habitat!$I$36,0)+IF(C54=2,I54*Habitat!$J$36,0)+IF(C54=3,I54*Habitat!$K$36,0)+IF(C54=4,I54*Habitat!$L$36,0)+IF(C54=5,I54*Habitat!$M$36,0)</f>
        <v>0</v>
      </c>
      <c r="K54" s="48">
        <f>IF(C54=1,I54*Habitat!$I$35,0)+IF(C54=2,I54*Habitat!$J$35,0)+IF(C54=3,I54*Habitat!$K$35,0)+IF(C54=4,I54*Habitat!$L$35,0)+IF(C54=5,I54*Habitat!$M$35,0)</f>
        <v>0</v>
      </c>
      <c r="L54" s="48">
        <f>IF(C54=1,I54*Habitat!$I$34,0)+IF(C54=2,I54*Habitat!$J$34,0)+IF(C54=3,I54*Habitat!$K$34,0)+IF(C54=4,I54*Habitat!$L$34,0)+IF(C54=5,I54*Habitat!$M$34,0)+IF(C54=6,I54*Habitat!$N$34,0)</f>
        <v>0</v>
      </c>
      <c r="M54" s="48">
        <f>IF(C54=1,I54*Habitat!$I$37,0)+IF(C54=2,I54*Habitat!$J$37,0)+IF(C54=3,I54*Habitat!$K$37,0)+IF(C54=4,I54*Habitat!$L$37,0)+IF(C54=5,I54*Habitat!$M$37,0)</f>
        <v>0</v>
      </c>
      <c r="N54" s="48">
        <f>IF(C54=1,I54*Habitat!$I$38,0)+IF(C54=2,I54*Habitat!$J$38,0)+IF(C54=3,I54*Habitat!$K$38,0)+IF(C54=4,I54*Habitat!$L$38,0)+IF(C54=5,I54*Habitat!$M$38,0)*IF(C54=7,I54*Habitat!$O$38,0)</f>
        <v>0</v>
      </c>
      <c r="O54">
        <f>IF(C54=1,I54*Habitat!$I$39,0)+IF(C54=2,I54*Habitat!$J$39,0)+IF(C54=3,I54*Habitat!$K$39,0)+IF(C54=4,I54*Habitat!$L$39,0)+IF(C54=5,I54*Habitat!$M$39,0)</f>
        <v>0</v>
      </c>
    </row>
    <row r="55" spans="1:15">
      <c r="A55">
        <f t="shared" si="10"/>
        <v>44</v>
      </c>
      <c r="B55" s="5">
        <f t="shared" si="11"/>
        <v>89</v>
      </c>
      <c r="C55" s="5">
        <v>1</v>
      </c>
      <c r="D55" s="56">
        <f t="shared" si="12"/>
        <v>1000</v>
      </c>
      <c r="E55" s="48">
        <f t="shared" ref="E55" si="15">IF(D55&lt;=$C$7,D54-$C$7,D55-$C$7)</f>
        <v>225</v>
      </c>
      <c r="F55" s="7">
        <f>Habitat!$D$22*D55</f>
        <v>12.327044025157234</v>
      </c>
      <c r="G55" s="3">
        <f t="shared" si="0"/>
        <v>0</v>
      </c>
      <c r="H55" s="3">
        <f>IF(D55&lt;$C$7,0,IF(D55&gt;$C$6,0,1))</f>
        <v>0</v>
      </c>
      <c r="I55" s="47">
        <f>PI()*D55*D55*$C$9*H55</f>
        <v>0</v>
      </c>
      <c r="J55" s="48">
        <f>IF(C55=1,I55*Habitat!$I$36,0)+IF(C55=2,I55*Habitat!$J$36,0)+IF(C55=3,I55*Habitat!$K$36,0)+IF(C55=4,I55*Habitat!$L$36,0)+IF(C55=5,I55*Habitat!$M$36,0)</f>
        <v>0</v>
      </c>
      <c r="K55" s="48">
        <f>IF(C55=1,I55*Habitat!$I$35,0)+IF(C55=2,I55*Habitat!$J$35,0)+IF(C55=3,I55*Habitat!$K$35,0)+IF(C55=4,I55*Habitat!$L$35,0)+IF(C55=5,I55*Habitat!$M$35,0)</f>
        <v>0</v>
      </c>
      <c r="L55" s="48">
        <f>IF(C55=1,I55*Habitat!$I$34,0)+IF(C55=2,I55*Habitat!$J$34,0)+IF(C55=3,I55*Habitat!$K$34,0)+IF(C55=4,I55*Habitat!$L$34,0)+IF(C55=5,I55*Habitat!$M$34,0)+IF(C55=6,I55*Habitat!$N$34,0)</f>
        <v>0</v>
      </c>
      <c r="M55" s="48">
        <f>IF(C55=1,I55*Habitat!$I$37,0)+IF(C55=2,I55*Habitat!$J$37,0)+IF(C55=3,I55*Habitat!$K$37,0)+IF(C55=4,I55*Habitat!$L$37,0)+IF(C55=5,I55*Habitat!$M$37,0)</f>
        <v>0</v>
      </c>
      <c r="N55" s="48">
        <f>IF(C55=1,I55*Habitat!$I$38,0)+IF(C55=2,I55*Habitat!$J$38,0)+IF(C55=3,I55*Habitat!$K$38,0)+IF(C55=4,I55*Habitat!$L$38,0)+IF(C55=5,I55*Habitat!$M$38,0)*IF(C55=7,I55*Habitat!$O$38,0)</f>
        <v>0</v>
      </c>
      <c r="O55">
        <f>IF(C55=1,I55*Habitat!$I$39,0)+IF(C55=2,I55*Habitat!$J$39,0)+IF(C55=3,I55*Habitat!$K$39,0)+IF(C55=4,I55*Habitat!$L$39,0)+IF(C55=5,I55*Habitat!$M$39,0)</f>
        <v>0</v>
      </c>
    </row>
    <row r="56" spans="1:15">
      <c r="A56">
        <f t="shared" si="10"/>
        <v>45</v>
      </c>
      <c r="B56" s="5">
        <f t="shared" si="11"/>
        <v>99</v>
      </c>
      <c r="C56" s="5">
        <v>2</v>
      </c>
      <c r="D56" s="56">
        <f t="shared" si="12"/>
        <v>1010</v>
      </c>
      <c r="E56" s="48">
        <f t="shared" si="13"/>
        <v>235</v>
      </c>
      <c r="F56" s="7">
        <f>Habitat!$D$22*D56</f>
        <v>12.450314465408805</v>
      </c>
      <c r="G56" s="3">
        <f t="shared" si="0"/>
        <v>0</v>
      </c>
      <c r="H56" s="3">
        <f>IF(D56&lt;$C$7,0,IF(D56&gt;$C$6,0,1))</f>
        <v>0</v>
      </c>
      <c r="I56" s="47">
        <f>PI()*D56*D56*$C$9*H56</f>
        <v>0</v>
      </c>
      <c r="J56" s="48">
        <f>IF(C56=1,I56*Habitat!$I$36,0)+IF(C56=2,I56*Habitat!$J$36,0)+IF(C56=3,I56*Habitat!$K$36,0)+IF(C56=4,I56*Habitat!$L$36,0)+IF(C56=5,I56*Habitat!$M$36,0)</f>
        <v>0</v>
      </c>
      <c r="K56" s="48">
        <f>IF(C56=1,I56*Habitat!$I$35,0)+IF(C56=2,I56*Habitat!$J$35,0)+IF(C56=3,I56*Habitat!$K$35,0)+IF(C56=4,I56*Habitat!$L$35,0)+IF(C56=5,I56*Habitat!$M$35,0)</f>
        <v>0</v>
      </c>
      <c r="L56" s="48">
        <f>IF(C56=1,I56*Habitat!$I$34,0)+IF(C56=2,I56*Habitat!$J$34,0)+IF(C56=3,I56*Habitat!$K$34,0)+IF(C56=4,I56*Habitat!$L$34,0)+IF(C56=5,I56*Habitat!$M$34,0)+IF(C56=6,I56*Habitat!$N$34,0)</f>
        <v>0</v>
      </c>
      <c r="M56" s="48">
        <f>IF(C56=1,I56*Habitat!$I$37,0)+IF(C56=2,I56*Habitat!$J$37,0)+IF(C56=3,I56*Habitat!$K$37,0)+IF(C56=4,I56*Habitat!$L$37,0)+IF(C56=5,I56*Habitat!$M$37,0)</f>
        <v>0</v>
      </c>
      <c r="N56" s="48">
        <f>IF(C56=1,I56*Habitat!$I$38,0)+IF(C56=2,I56*Habitat!$J$38,0)+IF(C56=3,I56*Habitat!$K$38,0)+IF(C56=4,I56*Habitat!$L$38,0)+IF(C56=5,I56*Habitat!$M$38,0)*IF(C56=7,I56*Habitat!$O$38,0)</f>
        <v>0</v>
      </c>
      <c r="O56">
        <f>IF(C56=1,I56*Habitat!$I$39,0)+IF(C56=2,I56*Habitat!$J$39,0)+IF(C56=3,I56*Habitat!$K$39,0)+IF(C56=4,I56*Habitat!$L$39,0)+IF(C56=5,I56*Habitat!$M$39,0)</f>
        <v>0</v>
      </c>
    </row>
    <row r="57" spans="1:15">
      <c r="A57">
        <f t="shared" si="10"/>
        <v>46</v>
      </c>
      <c r="B57" s="5">
        <f t="shared" si="11"/>
        <v>104</v>
      </c>
      <c r="C57" s="5">
        <v>1</v>
      </c>
      <c r="D57" s="56">
        <f t="shared" si="12"/>
        <v>1015</v>
      </c>
      <c r="E57" s="48">
        <f t="shared" si="13"/>
        <v>240</v>
      </c>
      <c r="F57" s="7">
        <f>Habitat!$D$22*D57</f>
        <v>12.51194968553459</v>
      </c>
      <c r="G57" s="3">
        <f t="shared" si="0"/>
        <v>0</v>
      </c>
      <c r="H57" s="3">
        <f>IF(D57&lt;$C$7,0,IF(D57&gt;$C$6,0,1))</f>
        <v>0</v>
      </c>
      <c r="I57" s="47">
        <f>PI()*D57*D57*$C$9*H57</f>
        <v>0</v>
      </c>
      <c r="J57" s="48">
        <f>IF(C57=1,I57*Habitat!$I$36,0)+IF(C57=2,I57*Habitat!$J$36,0)+IF(C57=3,I57*Habitat!$K$36,0)+IF(C57=4,I57*Habitat!$L$36,0)+IF(C57=5,I57*Habitat!$M$36,0)</f>
        <v>0</v>
      </c>
      <c r="K57" s="48">
        <f>IF(C57=1,I57*Habitat!$I$35,0)+IF(C57=2,I57*Habitat!$J$35,0)+IF(C57=3,I57*Habitat!$K$35,0)+IF(C57=4,I57*Habitat!$L$35,0)+IF(C57=5,I57*Habitat!$M$35,0)</f>
        <v>0</v>
      </c>
      <c r="L57" s="48">
        <f>IF(C57=1,I57*Habitat!$I$34,0)+IF(C57=2,I57*Habitat!$J$34,0)+IF(C57=3,I57*Habitat!$K$34,0)+IF(C57=4,I57*Habitat!$L$34,0)+IF(C57=5,I57*Habitat!$M$34,0)+IF(C57=6,I57*Habitat!$N$34,0)</f>
        <v>0</v>
      </c>
      <c r="M57" s="48">
        <f>IF(C57=1,I57*Habitat!$I$37,0)+IF(C57=2,I57*Habitat!$J$37,0)+IF(C57=3,I57*Habitat!$K$37,0)+IF(C57=4,I57*Habitat!$L$37,0)+IF(C57=5,I57*Habitat!$M$37,0)</f>
        <v>0</v>
      </c>
      <c r="N57" s="48">
        <f>IF(C57=1,I57*Habitat!$I$38,0)+IF(C57=2,I57*Habitat!$J$38,0)+IF(C57=3,I57*Habitat!$K$38,0)+IF(C57=4,I57*Habitat!$L$38,0)+IF(C57=5,I57*Habitat!$M$38,0)*IF(C57=7,I57*Habitat!$O$38,0)</f>
        <v>0</v>
      </c>
      <c r="O57">
        <f>IF(C57=1,I57*Habitat!$I$39,0)+IF(C57=2,I57*Habitat!$J$39,0)+IF(C57=3,I57*Habitat!$K$39,0)+IF(C57=4,I57*Habitat!$L$39,0)+IF(C57=5,I57*Habitat!$M$39,0)</f>
        <v>0</v>
      </c>
    </row>
    <row r="58" spans="1:15">
      <c r="A58">
        <f t="shared" si="10"/>
        <v>47</v>
      </c>
      <c r="B58" s="5">
        <f t="shared" si="11"/>
        <v>109</v>
      </c>
      <c r="C58" s="5">
        <v>1</v>
      </c>
      <c r="D58" s="56">
        <f t="shared" si="12"/>
        <v>1020</v>
      </c>
      <c r="E58" s="48">
        <f t="shared" si="13"/>
        <v>245</v>
      </c>
      <c r="F58" s="7">
        <f>Habitat!$D$22*D58</f>
        <v>12.573584905660377</v>
      </c>
      <c r="G58" s="3">
        <f t="shared" si="0"/>
        <v>0</v>
      </c>
      <c r="H58" s="3">
        <f>IF(D58&lt;$C$7,0,IF(D58&gt;$C$6,0,1))</f>
        <v>0</v>
      </c>
      <c r="I58" s="47">
        <f>PI()*D58*D58*$C$9*H58</f>
        <v>0</v>
      </c>
      <c r="J58" s="48">
        <f>IF(C58=1,I58*Habitat!$I$36,0)+IF(C58=2,I58*Habitat!$J$36,0)+IF(C58=3,I58*Habitat!$K$36,0)+IF(C58=4,I58*Habitat!$L$36,0)+IF(C58=5,I58*Habitat!$M$36,0)</f>
        <v>0</v>
      </c>
      <c r="K58" s="48">
        <f>IF(C58=1,I58*Habitat!$I$35,0)+IF(C58=2,I58*Habitat!$J$35,0)+IF(C58=3,I58*Habitat!$K$35,0)+IF(C58=4,I58*Habitat!$L$35,0)+IF(C58=5,I58*Habitat!$M$35,0)</f>
        <v>0</v>
      </c>
      <c r="L58" s="48">
        <f>IF(C58=1,I58*Habitat!$I$34,0)+IF(C58=2,I58*Habitat!$J$34,0)+IF(C58=3,I58*Habitat!$K$34,0)+IF(C58=4,I58*Habitat!$L$34,0)+IF(C58=5,I58*Habitat!$M$34,0)+IF(C58=6,I58*Habitat!$N$34,0)</f>
        <v>0</v>
      </c>
      <c r="M58" s="48">
        <f>IF(C58=1,I58*Habitat!$I$37,0)+IF(C58=2,I58*Habitat!$J$37,0)+IF(C58=3,I58*Habitat!$K$37,0)+IF(C58=4,I58*Habitat!$L$37,0)+IF(C58=5,I58*Habitat!$M$37,0)</f>
        <v>0</v>
      </c>
      <c r="N58" s="48">
        <f>IF(C58=1,I58*Habitat!$I$38,0)+IF(C58=2,I58*Habitat!$J$38,0)+IF(C58=3,I58*Habitat!$K$38,0)+IF(C58=4,I58*Habitat!$L$38,0)+IF(C58=5,I58*Habitat!$M$38,0)*IF(C58=7,I58*Habitat!$O$38,0)</f>
        <v>0</v>
      </c>
      <c r="O58">
        <f>IF(C58=1,I58*Habitat!$I$39,0)+IF(C58=2,I58*Habitat!$J$39,0)+IF(C58=3,I58*Habitat!$K$39,0)+IF(C58=4,I58*Habitat!$L$39,0)+IF(C58=5,I58*Habitat!$M$39,0)</f>
        <v>0</v>
      </c>
    </row>
    <row r="59" spans="1:15">
      <c r="A59">
        <f t="shared" si="10"/>
        <v>48</v>
      </c>
      <c r="B59" s="5">
        <f t="shared" si="11"/>
        <v>114</v>
      </c>
      <c r="C59" s="5">
        <v>1</v>
      </c>
      <c r="D59" s="56">
        <f t="shared" si="12"/>
        <v>1025</v>
      </c>
      <c r="E59" s="48">
        <f t="shared" si="13"/>
        <v>250</v>
      </c>
      <c r="F59" s="7">
        <f>Habitat!$D$22*D59</f>
        <v>12.635220125786164</v>
      </c>
      <c r="G59" s="3">
        <f t="shared" si="0"/>
        <v>0</v>
      </c>
      <c r="H59" s="3">
        <f>IF(D59&lt;$C$7,0,IF(D59&gt;$C$6,0,1))</f>
        <v>0</v>
      </c>
      <c r="I59" s="47">
        <f>PI()*D59*D59*$C$9*H59</f>
        <v>0</v>
      </c>
      <c r="J59" s="48">
        <f>IF(C59=1,I59*Habitat!$I$36,0)+IF(C59=2,I59*Habitat!$J$36,0)+IF(C59=3,I59*Habitat!$K$36,0)+IF(C59=4,I59*Habitat!$L$36,0)+IF(C59=5,I59*Habitat!$M$36,0)</f>
        <v>0</v>
      </c>
      <c r="K59" s="48">
        <f>IF(C59=1,I59*Habitat!$I$35,0)+IF(C59=2,I59*Habitat!$J$35,0)+IF(C59=3,I59*Habitat!$K$35,0)+IF(C59=4,I59*Habitat!$L$35,0)+IF(C59=5,I59*Habitat!$M$35,0)</f>
        <v>0</v>
      </c>
      <c r="L59" s="48">
        <f>IF(C59=1,I59*Habitat!$I$34,0)+IF(C59=2,I59*Habitat!$J$34,0)+IF(C59=3,I59*Habitat!$K$34,0)+IF(C59=4,I59*Habitat!$L$34,0)+IF(C59=5,I59*Habitat!$M$34,0)+IF(C59=6,I59*Habitat!$N$34,0)</f>
        <v>0</v>
      </c>
      <c r="M59" s="48">
        <f>IF(C59=1,I59*Habitat!$I$37,0)+IF(C59=2,I59*Habitat!$J$37,0)+IF(C59=3,I59*Habitat!$K$37,0)+IF(C59=4,I59*Habitat!$L$37,0)+IF(C59=5,I59*Habitat!$M$37,0)</f>
        <v>0</v>
      </c>
      <c r="N59" s="48">
        <f>IF(C59=1,I59*Habitat!$I$38,0)+IF(C59=2,I59*Habitat!$J$38,0)+IF(C59=3,I59*Habitat!$K$38,0)+IF(C59=4,I59*Habitat!$L$38,0)+IF(C59=5,I59*Habitat!$M$38,0)*IF(C59=7,I59*Habitat!$O$38,0)</f>
        <v>0</v>
      </c>
      <c r="O59">
        <f>IF(C59=1,I59*Habitat!$I$39,0)+IF(C59=2,I59*Habitat!$J$39,0)+IF(C59=3,I59*Habitat!$K$39,0)+IF(C59=4,I59*Habitat!$L$39,0)+IF(C59=5,I59*Habitat!$M$39,0)</f>
        <v>0</v>
      </c>
    </row>
    <row r="60" spans="1:15">
      <c r="A60">
        <f t="shared" si="10"/>
        <v>49</v>
      </c>
      <c r="B60" s="5">
        <f t="shared" si="11"/>
        <v>119</v>
      </c>
      <c r="C60" s="5">
        <v>1</v>
      </c>
      <c r="D60" s="56">
        <f t="shared" si="12"/>
        <v>1030</v>
      </c>
      <c r="E60" s="48">
        <f t="shared" si="13"/>
        <v>255</v>
      </c>
      <c r="F60" s="7">
        <f>Habitat!$D$22*D60</f>
        <v>12.696855345911949</v>
      </c>
      <c r="G60" s="3">
        <f t="shared" si="0"/>
        <v>0</v>
      </c>
      <c r="H60" s="3">
        <f>IF(D60&lt;$C$7,0,IF(D60&gt;$C$6,0,1))</f>
        <v>0</v>
      </c>
      <c r="I60" s="47">
        <f>PI()*D60*D60*$C$9*H60</f>
        <v>0</v>
      </c>
      <c r="J60" s="48">
        <f>IF(C60=1,I60*Habitat!$I$36,0)+IF(C60=2,I60*Habitat!$J$36,0)+IF(C60=3,I60*Habitat!$K$36,0)+IF(C60=4,I60*Habitat!$L$36,0)+IF(C60=5,I60*Habitat!$M$36,0)</f>
        <v>0</v>
      </c>
      <c r="K60" s="48">
        <f>IF(C60=1,I60*Habitat!$I$35,0)+IF(C60=2,I60*Habitat!$J$35,0)+IF(C60=3,I60*Habitat!$K$35,0)+IF(C60=4,I60*Habitat!$L$35,0)+IF(C60=5,I60*Habitat!$M$35,0)</f>
        <v>0</v>
      </c>
      <c r="L60" s="48">
        <f>IF(C60=1,I60*Habitat!$I$34,0)+IF(C60=2,I60*Habitat!$J$34,0)+IF(C60=3,I60*Habitat!$K$34,0)+IF(C60=4,I60*Habitat!$L$34,0)+IF(C60=5,I60*Habitat!$M$34,0)+IF(C60=6,I60*Habitat!$N$34,0)</f>
        <v>0</v>
      </c>
      <c r="M60" s="48">
        <f>IF(C60=1,I60*Habitat!$I$37,0)+IF(C60=2,I60*Habitat!$J$37,0)+IF(C60=3,I60*Habitat!$K$37,0)+IF(C60=4,I60*Habitat!$L$37,0)+IF(C60=5,I60*Habitat!$M$37,0)</f>
        <v>0</v>
      </c>
      <c r="N60" s="48">
        <f>IF(C60=1,I60*Habitat!$I$38,0)+IF(C60=2,I60*Habitat!$J$38,0)+IF(C60=3,I60*Habitat!$K$38,0)+IF(C60=4,I60*Habitat!$L$38,0)+IF(C60=5,I60*Habitat!$M$38,0)*IF(C60=7,I60*Habitat!$O$38,0)</f>
        <v>0</v>
      </c>
      <c r="O60">
        <f>IF(C60=1,I60*Habitat!$I$39,0)+IF(C60=2,I60*Habitat!$J$39,0)+IF(C60=3,I60*Habitat!$K$39,0)+IF(C60=4,I60*Habitat!$L$39,0)+IF(C60=5,I60*Habitat!$M$39,0)</f>
        <v>0</v>
      </c>
    </row>
    <row r="61" spans="1:15">
      <c r="A61">
        <f t="shared" si="10"/>
        <v>50</v>
      </c>
      <c r="B61" s="5">
        <f t="shared" si="11"/>
        <v>124</v>
      </c>
      <c r="C61" s="5">
        <v>1</v>
      </c>
      <c r="D61" s="56">
        <f t="shared" si="12"/>
        <v>1035</v>
      </c>
      <c r="E61" s="48">
        <f t="shared" si="13"/>
        <v>260</v>
      </c>
      <c r="F61" s="7">
        <f>Habitat!$D$22*D61</f>
        <v>12.758490566037736</v>
      </c>
      <c r="G61" s="3">
        <f t="shared" si="0"/>
        <v>0</v>
      </c>
      <c r="H61" s="3">
        <f>IF(D61&lt;$C$7,0,IF(D61&gt;$C$6,0,1))</f>
        <v>0</v>
      </c>
      <c r="I61" s="47">
        <f>PI()*D61*D61*$C$9*H61</f>
        <v>0</v>
      </c>
      <c r="J61" s="48">
        <f>IF(C61=1,I61*Habitat!$I$36,0)+IF(C61=2,I61*Habitat!$J$36,0)+IF(C61=3,I61*Habitat!$K$36,0)+IF(C61=4,I61*Habitat!$L$36,0)+IF(C61=5,I61*Habitat!$M$36,0)</f>
        <v>0</v>
      </c>
      <c r="K61" s="48">
        <f>IF(C61=1,I61*Habitat!$I$35,0)+IF(C61=2,I61*Habitat!$J$35,0)+IF(C61=3,I61*Habitat!$K$35,0)+IF(C61=4,I61*Habitat!$L$35,0)+IF(C61=5,I61*Habitat!$M$35,0)</f>
        <v>0</v>
      </c>
      <c r="L61" s="48">
        <f>IF(C61=1,I61*Habitat!$I$34,0)+IF(C61=2,I61*Habitat!$J$34,0)+IF(C61=3,I61*Habitat!$K$34,0)+IF(C61=4,I61*Habitat!$L$34,0)+IF(C61=5,I61*Habitat!$M$34,0)+IF(C61=6,I61*Habitat!$N$34,0)</f>
        <v>0</v>
      </c>
      <c r="M61" s="48">
        <f>IF(C61=1,I61*Habitat!$I$37,0)+IF(C61=2,I61*Habitat!$J$37,0)+IF(C61=3,I61*Habitat!$K$37,0)+IF(C61=4,I61*Habitat!$L$37,0)+IF(C61=5,I61*Habitat!$M$37,0)</f>
        <v>0</v>
      </c>
      <c r="N61" s="48">
        <f>IF(C61=1,I61*Habitat!$I$38,0)+IF(C61=2,I61*Habitat!$J$38,0)+IF(C61=3,I61*Habitat!$K$38,0)+IF(C61=4,I61*Habitat!$L$38,0)+IF(C61=5,I61*Habitat!$M$38,0)*IF(C61=7,I61*Habitat!$O$38,0)</f>
        <v>0</v>
      </c>
      <c r="O61">
        <f>IF(C61=1,I61*Habitat!$I$39,0)+IF(C61=2,I61*Habitat!$J$39,0)+IF(C61=3,I61*Habitat!$K$39,0)+IF(C61=4,I61*Habitat!$L$39,0)+IF(C61=5,I61*Habitat!$M$39,0)</f>
        <v>0</v>
      </c>
    </row>
    <row r="62" spans="1:15">
      <c r="A62">
        <f t="shared" si="10"/>
        <v>51</v>
      </c>
      <c r="B62" s="5">
        <f t="shared" si="11"/>
        <v>129</v>
      </c>
      <c r="C62" s="5">
        <v>3</v>
      </c>
      <c r="D62" s="56">
        <f t="shared" si="12"/>
        <v>1040</v>
      </c>
      <c r="E62" s="48">
        <f t="shared" si="13"/>
        <v>265</v>
      </c>
      <c r="F62" s="7">
        <f>Habitat!$D$22*D62</f>
        <v>12.820125786163523</v>
      </c>
      <c r="G62" s="3">
        <f t="shared" si="0"/>
        <v>0</v>
      </c>
      <c r="H62" s="3">
        <f>IF(D62&lt;$C$7,0,IF(D62&gt;$C$6,0,1))</f>
        <v>0</v>
      </c>
      <c r="I62" s="47">
        <f>PI()*D62*D62*$C$9*H62</f>
        <v>0</v>
      </c>
      <c r="J62" s="48">
        <f>IF(C62=1,I62*Habitat!$I$36,0)+IF(C62=2,I62*Habitat!$J$36,0)+IF(C62=3,I62*Habitat!$K$36,0)+IF(C62=4,I62*Habitat!$L$36,0)+IF(C62=5,I62*Habitat!$M$36,0)</f>
        <v>0</v>
      </c>
      <c r="K62" s="48">
        <f>IF(C62=1,I62*Habitat!$I$35,0)+IF(C62=2,I62*Habitat!$J$35,0)+IF(C62=3,I62*Habitat!$K$35,0)+IF(C62=4,I62*Habitat!$L$35,0)+IF(C62=5,I62*Habitat!$M$35,0)</f>
        <v>0</v>
      </c>
      <c r="L62" s="48">
        <f>IF(C62=1,I62*Habitat!$I$34,0)+IF(C62=2,I62*Habitat!$J$34,0)+IF(C62=3,I62*Habitat!$K$34,0)+IF(C62=4,I62*Habitat!$L$34,0)+IF(C62=5,I62*Habitat!$M$34,0)+IF(C62=6,I62*Habitat!$N$34,0)</f>
        <v>0</v>
      </c>
      <c r="M62" s="48">
        <f>IF(C62=1,I62*Habitat!$I$37,0)+IF(C62=2,I62*Habitat!$J$37,0)+IF(C62=3,I62*Habitat!$K$37,0)+IF(C62=4,I62*Habitat!$L$37,0)+IF(C62=5,I62*Habitat!$M$37,0)</f>
        <v>0</v>
      </c>
      <c r="N62" s="48">
        <f>IF(C62=1,I62*Habitat!$I$38,0)+IF(C62=2,I62*Habitat!$J$38,0)+IF(C62=3,I62*Habitat!$K$38,0)+IF(C62=4,I62*Habitat!$L$38,0)+IF(C62=5,I62*Habitat!$M$38,0)*IF(C62=7,I62*Habitat!$O$38,0)</f>
        <v>0</v>
      </c>
      <c r="O62">
        <f>IF(C62=1,I62*Habitat!$I$39,0)+IF(C62=2,I62*Habitat!$J$39,0)+IF(C62=3,I62*Habitat!$K$39,0)+IF(C62=4,I62*Habitat!$L$39,0)+IF(C62=5,I62*Habitat!$M$39,0)</f>
        <v>0</v>
      </c>
    </row>
    <row r="63" spans="1:15">
      <c r="A63">
        <f t="shared" si="10"/>
        <v>52</v>
      </c>
      <c r="B63" s="5">
        <f t="shared" si="11"/>
        <v>134</v>
      </c>
      <c r="C63" s="5">
        <v>3</v>
      </c>
      <c r="D63" s="56">
        <f t="shared" si="12"/>
        <v>1045</v>
      </c>
      <c r="E63" s="48">
        <f t="shared" si="13"/>
        <v>270</v>
      </c>
      <c r="F63" s="7">
        <f>Habitat!$D$22*D63</f>
        <v>12.881761006289308</v>
      </c>
      <c r="G63" s="3">
        <f t="shared" si="0"/>
        <v>0</v>
      </c>
      <c r="H63" s="3">
        <f>IF(D63&lt;$C$7,0,IF(D63&gt;$C$6,0,1))</f>
        <v>0</v>
      </c>
      <c r="I63" s="47">
        <f t="shared" ref="I63:I126" si="16">PI()*D63*D63*$C$9*H63</f>
        <v>0</v>
      </c>
      <c r="J63" s="48">
        <f>IF(C63=1,I63*Habitat!$I$36,0)+IF(C63=2,I63*Habitat!$J$36,0)+IF(C63=3,I63*Habitat!$K$36,0)+IF(C63=4,I63*Habitat!$L$36,0)+IF(C63=5,I63*Habitat!$M$36,0)</f>
        <v>0</v>
      </c>
      <c r="K63" s="48">
        <f>IF(C63=1,I63*Habitat!$I$35,0)+IF(C63=2,I63*Habitat!$J$35,0)+IF(C63=3,I63*Habitat!$K$35,0)+IF(C63=4,I63*Habitat!$L$35,0)+IF(C63=5,I63*Habitat!$M$35,0)</f>
        <v>0</v>
      </c>
      <c r="L63" s="48">
        <f>IF(C63=1,I63*Habitat!$I$34,0)+IF(C63=2,I63*Habitat!$J$34,0)+IF(C63=3,I63*Habitat!$K$34,0)+IF(C63=4,I63*Habitat!$L$34,0)+IF(C63=5,I63*Habitat!$M$34,0)+IF(C63=6,I63*Habitat!$N$34,0)</f>
        <v>0</v>
      </c>
      <c r="M63" s="48">
        <f>IF(C63=1,I63*Habitat!$I$37,0)+IF(C63=2,I63*Habitat!$J$37,0)+IF(C63=3,I63*Habitat!$K$37,0)+IF(C63=4,I63*Habitat!$L$37,0)+IF(C63=5,I63*Habitat!$M$37,0)</f>
        <v>0</v>
      </c>
      <c r="N63" s="48">
        <f>IF(C63=1,I63*Habitat!$I$38,0)+IF(C63=2,I63*Habitat!$J$38,0)+IF(C63=3,I63*Habitat!$K$38,0)+IF(C63=4,I63*Habitat!$L$38,0)+IF(C63=5,I63*Habitat!$M$38,0)*IF(C63=7,I63*Habitat!$O$38,0)</f>
        <v>0</v>
      </c>
      <c r="O63">
        <f>IF(C63=1,I63*Habitat!$I$39,0)+IF(C63=2,I63*Habitat!$J$39,0)+IF(C63=3,I63*Habitat!$K$39,0)+IF(C63=4,I63*Habitat!$L$39,0)+IF(C63=5,I63*Habitat!$M$39,0)</f>
        <v>0</v>
      </c>
    </row>
    <row r="64" spans="1:15">
      <c r="A64">
        <f t="shared" si="10"/>
        <v>53</v>
      </c>
      <c r="B64" s="5">
        <f t="shared" si="11"/>
        <v>139</v>
      </c>
      <c r="C64" s="5">
        <v>3</v>
      </c>
      <c r="D64" s="56">
        <f t="shared" si="12"/>
        <v>1050</v>
      </c>
      <c r="E64" s="48">
        <f t="shared" si="13"/>
        <v>275</v>
      </c>
      <c r="F64" s="7">
        <f>Habitat!$D$22*D64</f>
        <v>12.943396226415095</v>
      </c>
      <c r="G64" s="3">
        <f t="shared" si="0"/>
        <v>0</v>
      </c>
      <c r="H64" s="3">
        <f>IF(D64&lt;$C$7,0,IF(D64&gt;$C$6,0,1))</f>
        <v>0</v>
      </c>
      <c r="I64" s="47">
        <f t="shared" si="16"/>
        <v>0</v>
      </c>
      <c r="J64" s="48">
        <f>IF(C64=1,I64*Habitat!$I$36,0)+IF(C64=2,I64*Habitat!$J$36,0)+IF(C64=3,I64*Habitat!$K$36,0)+IF(C64=4,I64*Habitat!$L$36,0)+IF(C64=5,I64*Habitat!$M$36,0)</f>
        <v>0</v>
      </c>
      <c r="K64" s="48">
        <f>IF(C64=1,I64*Habitat!$I$35,0)+IF(C64=2,I64*Habitat!$J$35,0)+IF(C64=3,I64*Habitat!$K$35,0)+IF(C64=4,I64*Habitat!$L$35,0)+IF(C64=5,I64*Habitat!$M$35,0)</f>
        <v>0</v>
      </c>
      <c r="L64" s="48">
        <f>IF(C64=1,I64*Habitat!$I$34,0)+IF(C64=2,I64*Habitat!$J$34,0)+IF(C64=3,I64*Habitat!$K$34,0)+IF(C64=4,I64*Habitat!$L$34,0)+IF(C64=5,I64*Habitat!$M$34,0)+IF(C64=6,I64*Habitat!$N$34,0)</f>
        <v>0</v>
      </c>
      <c r="M64" s="48">
        <f>IF(C64=1,I64*Habitat!$I$37,0)+IF(C64=2,I64*Habitat!$J$37,0)+IF(C64=3,I64*Habitat!$K$37,0)+IF(C64=4,I64*Habitat!$L$37,0)+IF(C64=5,I64*Habitat!$M$37,0)</f>
        <v>0</v>
      </c>
      <c r="N64" s="48">
        <f>IF(C64=1,I64*Habitat!$I$38,0)+IF(C64=2,I64*Habitat!$J$38,0)+IF(C64=3,I64*Habitat!$K$38,0)+IF(C64=4,I64*Habitat!$L$38,0)+IF(C64=5,I64*Habitat!$M$38,0)*IF(C64=7,I64*Habitat!$O$38,0)</f>
        <v>0</v>
      </c>
      <c r="O64">
        <f>IF(C64=1,I64*Habitat!$I$39,0)+IF(C64=2,I64*Habitat!$J$39,0)+IF(C64=3,I64*Habitat!$K$39,0)+IF(C64=4,I64*Habitat!$L$39,0)+IF(C64=5,I64*Habitat!$M$39,0)</f>
        <v>0</v>
      </c>
    </row>
    <row r="65" spans="1:15">
      <c r="A65">
        <f t="shared" si="10"/>
        <v>54</v>
      </c>
      <c r="B65" s="5">
        <f t="shared" si="11"/>
        <v>144</v>
      </c>
      <c r="C65" s="5">
        <v>3</v>
      </c>
      <c r="D65" s="56">
        <f t="shared" si="12"/>
        <v>1055</v>
      </c>
      <c r="E65" s="48">
        <f t="shared" si="13"/>
        <v>280</v>
      </c>
      <c r="F65" s="7">
        <f>Habitat!$D$22*D65</f>
        <v>13.005031446540881</v>
      </c>
      <c r="G65" s="3">
        <f t="shared" si="0"/>
        <v>0</v>
      </c>
      <c r="H65" s="3">
        <f>IF(D65&lt;$C$7,0,IF(D65&gt;$C$6,0,1))</f>
        <v>0</v>
      </c>
      <c r="I65" s="47">
        <f t="shared" si="16"/>
        <v>0</v>
      </c>
      <c r="J65" s="48">
        <f>IF(C65=1,I65*Habitat!$I$36,0)+IF(C65=2,I65*Habitat!$J$36,0)+IF(C65=3,I65*Habitat!$K$36,0)+IF(C65=4,I65*Habitat!$L$36,0)+IF(C65=5,I65*Habitat!$M$36,0)</f>
        <v>0</v>
      </c>
      <c r="K65" s="48">
        <f>IF(C65=1,I65*Habitat!$I$35,0)+IF(C65=2,I65*Habitat!$J$35,0)+IF(C65=3,I65*Habitat!$K$35,0)+IF(C65=4,I65*Habitat!$L$35,0)+IF(C65=5,I65*Habitat!$M$35,0)</f>
        <v>0</v>
      </c>
      <c r="L65" s="48">
        <f>IF(C65=1,I65*Habitat!$I$34,0)+IF(C65=2,I65*Habitat!$J$34,0)+IF(C65=3,I65*Habitat!$K$34,0)+IF(C65=4,I65*Habitat!$L$34,0)+IF(C65=5,I65*Habitat!$M$34,0)+IF(C65=6,I65*Habitat!$N$34,0)</f>
        <v>0</v>
      </c>
      <c r="M65" s="48">
        <f>IF(C65=1,I65*Habitat!$I$37,0)+IF(C65=2,I65*Habitat!$J$37,0)+IF(C65=3,I65*Habitat!$K$37,0)+IF(C65=4,I65*Habitat!$L$37,0)+IF(C65=5,I65*Habitat!$M$37,0)</f>
        <v>0</v>
      </c>
      <c r="N65" s="48">
        <f>IF(C65=1,I65*Habitat!$I$38,0)+IF(C65=2,I65*Habitat!$J$38,0)+IF(C65=3,I65*Habitat!$K$38,0)+IF(C65=4,I65*Habitat!$L$38,0)+IF(C65=5,I65*Habitat!$M$38,0)*IF(C65=7,I65*Habitat!$O$38,0)</f>
        <v>0</v>
      </c>
      <c r="O65">
        <f>IF(C65=1,I65*Habitat!$I$39,0)+IF(C65=2,I65*Habitat!$J$39,0)+IF(C65=3,I65*Habitat!$K$39,0)+IF(C65=4,I65*Habitat!$L$39,0)+IF(C65=5,I65*Habitat!$M$39,0)</f>
        <v>0</v>
      </c>
    </row>
    <row r="66" spans="1:15">
      <c r="A66">
        <f t="shared" si="10"/>
        <v>55</v>
      </c>
      <c r="B66" s="5">
        <f t="shared" si="11"/>
        <v>149</v>
      </c>
      <c r="C66" s="5">
        <v>3</v>
      </c>
      <c r="D66" s="56">
        <f t="shared" si="12"/>
        <v>1060</v>
      </c>
      <c r="E66" s="48">
        <f t="shared" si="13"/>
        <v>285</v>
      </c>
      <c r="F66" s="7">
        <f>Habitat!$D$22*D66</f>
        <v>13.066666666666666</v>
      </c>
      <c r="G66" s="3">
        <f t="shared" si="0"/>
        <v>0</v>
      </c>
      <c r="H66" s="3">
        <f>IF(D66&lt;$C$7,0,IF(D66&gt;$C$6,0,1))</f>
        <v>0</v>
      </c>
      <c r="I66" s="47">
        <f t="shared" si="16"/>
        <v>0</v>
      </c>
      <c r="J66" s="48">
        <f>IF(C66=1,I66*Habitat!$I$36,0)+IF(C66=2,I66*Habitat!$J$36,0)+IF(C66=3,I66*Habitat!$K$36,0)+IF(C66=4,I66*Habitat!$L$36,0)+IF(C66=5,I66*Habitat!$M$36,0)</f>
        <v>0</v>
      </c>
      <c r="K66" s="48">
        <f>IF(C66=1,I66*Habitat!$I$35,0)+IF(C66=2,I66*Habitat!$J$35,0)+IF(C66=3,I66*Habitat!$K$35,0)+IF(C66=4,I66*Habitat!$L$35,0)+IF(C66=5,I66*Habitat!$M$35,0)</f>
        <v>0</v>
      </c>
      <c r="L66" s="48">
        <f>IF(C66=1,I66*Habitat!$I$34,0)+IF(C66=2,I66*Habitat!$J$34,0)+IF(C66=3,I66*Habitat!$K$34,0)+IF(C66=4,I66*Habitat!$L$34,0)+IF(C66=5,I66*Habitat!$M$34,0)+IF(C66=6,I66*Habitat!$N$34,0)</f>
        <v>0</v>
      </c>
      <c r="M66" s="48">
        <f>IF(C66=1,I66*Habitat!$I$37,0)+IF(C66=2,I66*Habitat!$J$37,0)+IF(C66=3,I66*Habitat!$K$37,0)+IF(C66=4,I66*Habitat!$L$37,0)+IF(C66=5,I66*Habitat!$M$37,0)</f>
        <v>0</v>
      </c>
      <c r="N66" s="48">
        <f>IF(C66=1,I66*Habitat!$I$38,0)+IF(C66=2,I66*Habitat!$J$38,0)+IF(C66=3,I66*Habitat!$K$38,0)+IF(C66=4,I66*Habitat!$L$38,0)+IF(C66=5,I66*Habitat!$M$38,0)*IF(C66=7,I66*Habitat!$O$38,0)</f>
        <v>0</v>
      </c>
      <c r="O66">
        <f>IF(C66=1,I66*Habitat!$I$39,0)+IF(C66=2,I66*Habitat!$J$39,0)+IF(C66=3,I66*Habitat!$K$39,0)+IF(C66=4,I66*Habitat!$L$39,0)+IF(C66=5,I66*Habitat!$M$39,0)</f>
        <v>0</v>
      </c>
    </row>
    <row r="67" spans="1:15">
      <c r="A67">
        <f t="shared" si="10"/>
        <v>56</v>
      </c>
      <c r="B67" s="5">
        <f t="shared" si="11"/>
        <v>154</v>
      </c>
      <c r="C67" s="5">
        <v>3</v>
      </c>
      <c r="D67" s="56">
        <f t="shared" si="12"/>
        <v>1065</v>
      </c>
      <c r="E67" s="48">
        <f t="shared" si="13"/>
        <v>290</v>
      </c>
      <c r="F67" s="7">
        <f>Habitat!$D$22*D67</f>
        <v>13.128301886792453</v>
      </c>
      <c r="G67" s="3">
        <f t="shared" si="0"/>
        <v>0</v>
      </c>
      <c r="H67" s="3">
        <f>IF(D67&lt;$C$7,0,IF(D67&gt;$C$6,0,1))</f>
        <v>0</v>
      </c>
      <c r="I67" s="47">
        <f t="shared" si="16"/>
        <v>0</v>
      </c>
      <c r="J67" s="48">
        <f>IF(C67=1,I67*Habitat!$I$36,0)+IF(C67=2,I67*Habitat!$J$36,0)+IF(C67=3,I67*Habitat!$K$36,0)+IF(C67=4,I67*Habitat!$L$36,0)+IF(C67=5,I67*Habitat!$M$36,0)</f>
        <v>0</v>
      </c>
      <c r="K67" s="48">
        <f>IF(C67=1,I67*Habitat!$I$35,0)+IF(C67=2,I67*Habitat!$J$35,0)+IF(C67=3,I67*Habitat!$K$35,0)+IF(C67=4,I67*Habitat!$L$35,0)+IF(C67=5,I67*Habitat!$M$35,0)</f>
        <v>0</v>
      </c>
      <c r="L67" s="48">
        <f>IF(C67=1,I67*Habitat!$I$34,0)+IF(C67=2,I67*Habitat!$J$34,0)+IF(C67=3,I67*Habitat!$K$34,0)+IF(C67=4,I67*Habitat!$L$34,0)+IF(C67=5,I67*Habitat!$M$34,0)+IF(C67=6,I67*Habitat!$N$34,0)</f>
        <v>0</v>
      </c>
      <c r="M67" s="48">
        <f>IF(C67=1,I67*Habitat!$I$37,0)+IF(C67=2,I67*Habitat!$J$37,0)+IF(C67=3,I67*Habitat!$K$37,0)+IF(C67=4,I67*Habitat!$L$37,0)+IF(C67=5,I67*Habitat!$M$37,0)</f>
        <v>0</v>
      </c>
      <c r="N67" s="48">
        <f>IF(C67=1,I67*Habitat!$I$38,0)+IF(C67=2,I67*Habitat!$J$38,0)+IF(C67=3,I67*Habitat!$K$38,0)+IF(C67=4,I67*Habitat!$L$38,0)+IF(C67=5,I67*Habitat!$M$38,0)*IF(C67=7,I67*Habitat!$O$38,0)</f>
        <v>0</v>
      </c>
      <c r="O67">
        <f>IF(C67=1,I67*Habitat!$I$39,0)+IF(C67=2,I67*Habitat!$J$39,0)+IF(C67=3,I67*Habitat!$K$39,0)+IF(C67=4,I67*Habitat!$L$39,0)+IF(C67=5,I67*Habitat!$M$39,0)</f>
        <v>0</v>
      </c>
    </row>
    <row r="68" spans="1:15">
      <c r="A68">
        <f t="shared" si="10"/>
        <v>57</v>
      </c>
      <c r="B68" s="5">
        <f t="shared" si="11"/>
        <v>164</v>
      </c>
      <c r="C68" s="5">
        <v>2</v>
      </c>
      <c r="D68" s="56">
        <f t="shared" si="12"/>
        <v>1075</v>
      </c>
      <c r="E68" s="48">
        <f t="shared" si="13"/>
        <v>300</v>
      </c>
      <c r="F68" s="3">
        <f>Habitat!$D$22*D68</f>
        <v>13.251572327044025</v>
      </c>
      <c r="G68" s="3">
        <f t="shared" si="0"/>
        <v>0</v>
      </c>
      <c r="H68" s="3">
        <f>IF(D68&lt;$C$7,0,IF(D68&gt;$C$6,0,1))</f>
        <v>0</v>
      </c>
      <c r="I68" s="47">
        <f t="shared" si="16"/>
        <v>0</v>
      </c>
      <c r="J68" s="48">
        <f>IF(C68=1,I68*Habitat!$I$36,0)+IF(C68=2,I68*Habitat!$J$36,0)+IF(C68=3,I68*Habitat!$K$36,0)+IF(C68=4,I68*Habitat!$L$36,0)+IF(C68=5,I68*Habitat!$M$36,0)</f>
        <v>0</v>
      </c>
      <c r="K68" s="48">
        <f>IF(C68=1,I68*Habitat!$I$35,0)+IF(C68=2,I68*Habitat!$J$35,0)+IF(C68=3,I68*Habitat!$K$35,0)+IF(C68=4,I68*Habitat!$L$35,0)+IF(C68=5,I68*Habitat!$M$35,0)</f>
        <v>0</v>
      </c>
      <c r="L68" s="48">
        <f>IF(C68=1,I68*Habitat!$I$34,0)+IF(C68=2,I68*Habitat!$J$34,0)+IF(C68=3,I68*Habitat!$K$34,0)+IF(C68=4,I68*Habitat!$L$34,0)+IF(C68=5,I68*Habitat!$M$34,0)+IF(C68=6,I68*Habitat!$N$34,0)</f>
        <v>0</v>
      </c>
      <c r="M68" s="48">
        <f>IF(C68=1,I68*Habitat!$I$37,0)+IF(C68=2,I68*Habitat!$J$37,0)+IF(C68=3,I68*Habitat!$K$37,0)+IF(C68=4,I68*Habitat!$L$37,0)+IF(C68=5,I68*Habitat!$M$37,0)</f>
        <v>0</v>
      </c>
      <c r="N68" s="48">
        <f>IF(C68=1,I68*Habitat!$I$38,0)+IF(C68=2,I68*Habitat!$J$38,0)+IF(C68=3,I68*Habitat!$K$38,0)+IF(C68=4,I68*Habitat!$L$38,0)+IF(C68=5,I68*Habitat!$M$38,0)*IF(C68=7,I68*Habitat!$O$38,0)</f>
        <v>0</v>
      </c>
      <c r="O68">
        <f>IF(C68=1,I68*Habitat!$I$39,0)+IF(C68=2,I68*Habitat!$J$39,0)+IF(C68=3,I68*Habitat!$K$39,0)+IF(C68=4,I68*Habitat!$L$39,0)+IF(C68=5,I68*Habitat!$M$39,0)</f>
        <v>0</v>
      </c>
    </row>
    <row r="69" spans="1:15">
      <c r="A69">
        <f t="shared" si="10"/>
        <v>58</v>
      </c>
      <c r="B69" s="5">
        <f t="shared" si="11"/>
        <v>174</v>
      </c>
      <c r="C69" s="5">
        <v>2</v>
      </c>
      <c r="D69" s="56">
        <f t="shared" si="12"/>
        <v>1085</v>
      </c>
      <c r="E69" s="48">
        <f t="shared" si="13"/>
        <v>310</v>
      </c>
      <c r="F69" s="3">
        <f>Habitat!$D$22*D69</f>
        <v>13.374842767295597</v>
      </c>
      <c r="G69" s="3">
        <f t="shared" si="0"/>
        <v>0</v>
      </c>
      <c r="H69" s="3">
        <f>IF(D69&lt;$C$7,0,IF(D69&gt;$C$6,0,1))</f>
        <v>0</v>
      </c>
      <c r="I69" s="47">
        <f t="shared" si="16"/>
        <v>0</v>
      </c>
      <c r="J69" s="48">
        <f>IF(C69=1,I69*Habitat!$I$36,0)+IF(C69=2,I69*Habitat!$J$36,0)+IF(C69=3,I69*Habitat!$K$36,0)+IF(C69=4,I69*Habitat!$L$36,0)+IF(C69=5,I69*Habitat!$M$36,0)</f>
        <v>0</v>
      </c>
      <c r="K69" s="48">
        <f>IF(C69=1,I69*Habitat!$I$35,0)+IF(C69=2,I69*Habitat!$J$35,0)+IF(C69=3,I69*Habitat!$K$35,0)+IF(C69=4,I69*Habitat!$L$35,0)+IF(C69=5,I69*Habitat!$M$35,0)</f>
        <v>0</v>
      </c>
      <c r="L69" s="48">
        <f>IF(C69=1,I69*Habitat!$I$34,0)+IF(C69=2,I69*Habitat!$J$34,0)+IF(C69=3,I69*Habitat!$K$34,0)+IF(C69=4,I69*Habitat!$L$34,0)+IF(C69=5,I69*Habitat!$M$34,0)+IF(C69=6,I69*Habitat!$N$34,0)</f>
        <v>0</v>
      </c>
      <c r="M69" s="48">
        <f>IF(C69=1,I69*Habitat!$I$37,0)+IF(C69=2,I69*Habitat!$J$37,0)+IF(C69=3,I69*Habitat!$K$37,0)+IF(C69=4,I69*Habitat!$L$37,0)+IF(C69=5,I69*Habitat!$M$37,0)</f>
        <v>0</v>
      </c>
      <c r="N69" s="48">
        <f>IF(C69=1,I69*Habitat!$I$38,0)+IF(C69=2,I69*Habitat!$J$38,0)+IF(C69=3,I69*Habitat!$K$38,0)+IF(C69=4,I69*Habitat!$L$38,0)+IF(C69=5,I69*Habitat!$M$38,0)*IF(C69=7,I69*Habitat!$O$38,0)</f>
        <v>0</v>
      </c>
      <c r="O69">
        <f>IF(C69=1,I69*Habitat!$I$39,0)+IF(C69=2,I69*Habitat!$J$39,0)+IF(C69=3,I69*Habitat!$K$39,0)+IF(C69=4,I69*Habitat!$L$39,0)+IF(C69=5,I69*Habitat!$M$39,0)</f>
        <v>0</v>
      </c>
    </row>
    <row r="70" spans="1:15">
      <c r="A70">
        <f t="shared" si="10"/>
        <v>59</v>
      </c>
      <c r="B70" s="5">
        <f t="shared" si="11"/>
        <v>184</v>
      </c>
      <c r="C70" s="5">
        <v>2</v>
      </c>
      <c r="D70" s="56">
        <f t="shared" si="12"/>
        <v>1095</v>
      </c>
      <c r="E70" s="48">
        <f t="shared" si="13"/>
        <v>320</v>
      </c>
      <c r="F70" s="3">
        <f>Habitat!$D$22*D70</f>
        <v>13.498113207547171</v>
      </c>
      <c r="G70" s="3">
        <f t="shared" si="0"/>
        <v>0</v>
      </c>
      <c r="H70" s="3">
        <f>IF(D70&lt;$C$7,0,IF(D70&gt;$C$6,0,1))</f>
        <v>0</v>
      </c>
      <c r="I70" s="47">
        <f t="shared" si="16"/>
        <v>0</v>
      </c>
      <c r="J70" s="48">
        <f>IF(C70=1,I70*Habitat!$I$36,0)+IF(C70=2,I70*Habitat!$J$36,0)+IF(C70=3,I70*Habitat!$K$36,0)+IF(C70=4,I70*Habitat!$L$36,0)+IF(C70=5,I70*Habitat!$M$36,0)</f>
        <v>0</v>
      </c>
      <c r="K70" s="48">
        <f>IF(C70=1,I70*Habitat!$I$35,0)+IF(C70=2,I70*Habitat!$J$35,0)+IF(C70=3,I70*Habitat!$K$35,0)+IF(C70=4,I70*Habitat!$L$35,0)+IF(C70=5,I70*Habitat!$M$35,0)</f>
        <v>0</v>
      </c>
      <c r="L70" s="48">
        <f>IF(C70=1,I70*Habitat!$I$34,0)+IF(C70=2,I70*Habitat!$J$34,0)+IF(C70=3,I70*Habitat!$K$34,0)+IF(C70=4,I70*Habitat!$L$34,0)+IF(C70=5,I70*Habitat!$M$34,0)+IF(C70=6,I70*Habitat!$N$34,0)</f>
        <v>0</v>
      </c>
      <c r="M70" s="48">
        <f>IF(C70=1,I70*Habitat!$I$37,0)+IF(C70=2,I70*Habitat!$J$37,0)+IF(C70=3,I70*Habitat!$K$37,0)+IF(C70=4,I70*Habitat!$L$37,0)+IF(C70=5,I70*Habitat!$M$37,0)</f>
        <v>0</v>
      </c>
      <c r="N70" s="48">
        <f>IF(C70=1,I70*Habitat!$I$38,0)+IF(C70=2,I70*Habitat!$J$38,0)+IF(C70=3,I70*Habitat!$K$38,0)+IF(C70=4,I70*Habitat!$L$38,0)+IF(C70=5,I70*Habitat!$M$38,0)*IF(C70=7,I70*Habitat!$O$38,0)</f>
        <v>0</v>
      </c>
      <c r="O70">
        <f>IF(C70=1,I70*Habitat!$I$39,0)+IF(C70=2,I70*Habitat!$J$39,0)+IF(C70=3,I70*Habitat!$K$39,0)+IF(C70=4,I70*Habitat!$L$39,0)+IF(C70=5,I70*Habitat!$M$39,0)</f>
        <v>0</v>
      </c>
    </row>
    <row r="71" spans="1:15">
      <c r="A71">
        <f t="shared" si="10"/>
        <v>60</v>
      </c>
      <c r="C71" s="5">
        <v>3</v>
      </c>
      <c r="D71" s="56">
        <f t="shared" si="12"/>
        <v>1100</v>
      </c>
      <c r="E71" s="48">
        <f t="shared" si="13"/>
        <v>325</v>
      </c>
      <c r="F71" s="3">
        <f>Habitat!$D$22*D71</f>
        <v>13.559748427672956</v>
      </c>
      <c r="G71" s="3">
        <f t="shared" si="0"/>
        <v>0</v>
      </c>
      <c r="H71" s="3">
        <f>IF(D71&lt;$C$7,0,IF(D71&gt;$C$6,0,1))</f>
        <v>0</v>
      </c>
      <c r="I71" s="47">
        <f t="shared" si="16"/>
        <v>0</v>
      </c>
      <c r="J71" s="48">
        <f>IF(C71=1,I71*Habitat!$I$36,0)+IF(C71=2,I71*Habitat!$J$36,0)+IF(C71=3,I71*Habitat!$K$36,0)+IF(C71=4,I71*Habitat!$L$36,0)+IF(C71=5,I71*Habitat!$M$36,0)</f>
        <v>0</v>
      </c>
      <c r="K71" s="48">
        <f>IF(C71=1,I71*Habitat!$I$35,0)+IF(C71=2,I71*Habitat!$J$35,0)+IF(C71=3,I71*Habitat!$K$35,0)+IF(C71=4,I71*Habitat!$L$35,0)+IF(C71=5,I71*Habitat!$M$35,0)</f>
        <v>0</v>
      </c>
      <c r="L71" s="48">
        <f>IF(C71=1,I71*Habitat!$I$34,0)+IF(C71=2,I71*Habitat!$J$34,0)+IF(C71=3,I71*Habitat!$K$34,0)+IF(C71=4,I71*Habitat!$L$34,0)+IF(C71=5,I71*Habitat!$M$34,0)+IF(C71=6,I71*Habitat!$N$34,0)</f>
        <v>0</v>
      </c>
      <c r="M71" s="48">
        <f>IF(C71=1,I71*Habitat!$I$37,0)+IF(C71=2,I71*Habitat!$J$37,0)+IF(C71=3,I71*Habitat!$K$37,0)+IF(C71=4,I71*Habitat!$L$37,0)+IF(C71=5,I71*Habitat!$M$37,0)</f>
        <v>0</v>
      </c>
      <c r="N71" s="48">
        <f>IF(C71=1,I71*Habitat!$I$38,0)+IF(C71=2,I71*Habitat!$J$38,0)+IF(C71=3,I71*Habitat!$K$38,0)+IF(C71=4,I71*Habitat!$L$38,0)+IF(C71=5,I71*Habitat!$M$38,0)*IF(C71=7,I71*Habitat!$O$38,0)</f>
        <v>0</v>
      </c>
      <c r="O71">
        <f>IF(C71=1,I71*Habitat!$I$39,0)+IF(C71=2,I71*Habitat!$J$39,0)+IF(C71=3,I71*Habitat!$K$39,0)+IF(C71=4,I71*Habitat!$L$39,0)+IF(C71=5,I71*Habitat!$M$39,0)</f>
        <v>0</v>
      </c>
    </row>
    <row r="72" spans="1:15">
      <c r="A72">
        <f t="shared" si="10"/>
        <v>61</v>
      </c>
      <c r="C72" s="5">
        <v>3</v>
      </c>
      <c r="D72" s="56">
        <f t="shared" si="12"/>
        <v>1105</v>
      </c>
      <c r="E72" s="48">
        <f t="shared" si="13"/>
        <v>330</v>
      </c>
      <c r="F72" s="3">
        <f>Habitat!$D$22*D72</f>
        <v>13.621383647798742</v>
      </c>
      <c r="G72" s="3">
        <f t="shared" si="0"/>
        <v>0</v>
      </c>
      <c r="H72" s="3">
        <f>IF(D72&lt;$C$7,0,IF(D72&gt;$C$6,0,1))</f>
        <v>0</v>
      </c>
      <c r="I72" s="47">
        <f t="shared" si="16"/>
        <v>0</v>
      </c>
      <c r="J72" s="48">
        <f>IF(C72=1,I72*Habitat!$I$36,0)+IF(C72=2,I72*Habitat!$J$36,0)+IF(C72=3,I72*Habitat!$K$36,0)+IF(C72=4,I72*Habitat!$L$36,0)+IF(C72=5,I72*Habitat!$M$36,0)</f>
        <v>0</v>
      </c>
      <c r="K72" s="48">
        <f>IF(C72=1,I72*Habitat!$I$35,0)+IF(C72=2,I72*Habitat!$J$35,0)+IF(C72=3,I72*Habitat!$K$35,0)+IF(C72=4,I72*Habitat!$L$35,0)+IF(C72=5,I72*Habitat!$M$35,0)</f>
        <v>0</v>
      </c>
      <c r="L72" s="48">
        <f>IF(C72=1,I72*Habitat!$I$34,0)+IF(C72=2,I72*Habitat!$J$34,0)+IF(C72=3,I72*Habitat!$K$34,0)+IF(C72=4,I72*Habitat!$L$34,0)+IF(C72=5,I72*Habitat!$M$34,0)+IF(C72=6,I72*Habitat!$N$34,0)</f>
        <v>0</v>
      </c>
      <c r="M72" s="48">
        <f>IF(C72=1,I72*Habitat!$I$37,0)+IF(C72=2,I72*Habitat!$J$37,0)+IF(C72=3,I72*Habitat!$K$37,0)+IF(C72=4,I72*Habitat!$L$37,0)+IF(C72=5,I72*Habitat!$M$37,0)</f>
        <v>0</v>
      </c>
      <c r="N72" s="48">
        <f>IF(C72=1,I72*Habitat!$I$38,0)+IF(C72=2,I72*Habitat!$J$38,0)+IF(C72=3,I72*Habitat!$K$38,0)+IF(C72=4,I72*Habitat!$L$38,0)+IF(C72=5,I72*Habitat!$M$38,0)*IF(C72=7,I72*Habitat!$O$38,0)</f>
        <v>0</v>
      </c>
      <c r="O72">
        <f>IF(C72=1,I72*Habitat!$I$39,0)+IF(C72=2,I72*Habitat!$J$39,0)+IF(C72=3,I72*Habitat!$K$39,0)+IF(C72=4,I72*Habitat!$L$39,0)+IF(C72=5,I72*Habitat!$M$39,0)</f>
        <v>0</v>
      </c>
    </row>
    <row r="73" spans="1:15">
      <c r="A73">
        <f t="shared" si="10"/>
        <v>62</v>
      </c>
      <c r="C73" s="5">
        <v>3</v>
      </c>
      <c r="D73" s="56">
        <f t="shared" si="12"/>
        <v>1110</v>
      </c>
      <c r="E73" s="48">
        <f t="shared" si="13"/>
        <v>335</v>
      </c>
      <c r="F73" s="3">
        <f>Habitat!$D$22*D73</f>
        <v>13.683018867924527</v>
      </c>
      <c r="G73" s="3">
        <f t="shared" si="0"/>
        <v>0</v>
      </c>
      <c r="H73" s="3">
        <f>IF(D73&lt;$C$7,0,IF(D73&gt;$C$6,0,1))</f>
        <v>0</v>
      </c>
      <c r="I73" s="47">
        <f t="shared" si="16"/>
        <v>0</v>
      </c>
      <c r="J73" s="48">
        <f>IF(C73=1,I73*Habitat!$I$36,0)+IF(C73=2,I73*Habitat!$J$36,0)+IF(C73=3,I73*Habitat!$K$36,0)+IF(C73=4,I73*Habitat!$L$36,0)+IF(C73=5,I73*Habitat!$M$36,0)</f>
        <v>0</v>
      </c>
      <c r="K73" s="48">
        <f>IF(C73=1,I73*Habitat!$I$35,0)+IF(C73=2,I73*Habitat!$J$35,0)+IF(C73=3,I73*Habitat!$K$35,0)+IF(C73=4,I73*Habitat!$L$35,0)+IF(C73=5,I73*Habitat!$M$35,0)</f>
        <v>0</v>
      </c>
      <c r="L73" s="48">
        <f>IF(C73=1,I73*Habitat!$I$34,0)+IF(C73=2,I73*Habitat!$J$34,0)+IF(C73=3,I73*Habitat!$K$34,0)+IF(C73=4,I73*Habitat!$L$34,0)+IF(C73=5,I73*Habitat!$M$34,0)+IF(C73=6,I73*Habitat!$N$34,0)</f>
        <v>0</v>
      </c>
      <c r="M73" s="48">
        <f>IF(C73=1,I73*Habitat!$I$37,0)+IF(C73=2,I73*Habitat!$J$37,0)+IF(C73=3,I73*Habitat!$K$37,0)+IF(C73=4,I73*Habitat!$L$37,0)+IF(C73=5,I73*Habitat!$M$37,0)</f>
        <v>0</v>
      </c>
      <c r="N73" s="48">
        <f>IF(C73=1,I73*Habitat!$I$38,0)+IF(C73=2,I73*Habitat!$J$38,0)+IF(C73=3,I73*Habitat!$K$38,0)+IF(C73=4,I73*Habitat!$L$38,0)+IF(C73=5,I73*Habitat!$M$38,0)*IF(C73=7,I73*Habitat!$O$38,0)</f>
        <v>0</v>
      </c>
      <c r="O73">
        <f>IF(C73=1,I73*Habitat!$I$39,0)+IF(C73=2,I73*Habitat!$J$39,0)+IF(C73=3,I73*Habitat!$K$39,0)+IF(C73=4,I73*Habitat!$L$39,0)+IF(C73=5,I73*Habitat!$M$39,0)</f>
        <v>0</v>
      </c>
    </row>
    <row r="74" spans="1:15">
      <c r="A74">
        <f t="shared" si="10"/>
        <v>63</v>
      </c>
      <c r="C74" s="5">
        <v>3</v>
      </c>
      <c r="D74" s="56">
        <f t="shared" si="12"/>
        <v>1115</v>
      </c>
      <c r="E74" s="48">
        <f t="shared" si="13"/>
        <v>340</v>
      </c>
      <c r="F74" s="3">
        <f>Habitat!$D$22*D74</f>
        <v>13.744654088050314</v>
      </c>
      <c r="G74" s="3">
        <f t="shared" si="0"/>
        <v>0</v>
      </c>
      <c r="H74" s="3">
        <f>IF(D74&lt;$C$7,0,IF(D74&gt;$C$6,0,1))</f>
        <v>0</v>
      </c>
      <c r="I74" s="47">
        <f t="shared" si="16"/>
        <v>0</v>
      </c>
      <c r="J74" s="48">
        <f>IF(C74=1,I74*Habitat!$I$36,0)+IF(C74=2,I74*Habitat!$J$36,0)+IF(C74=3,I74*Habitat!$K$36,0)+IF(C74=4,I74*Habitat!$L$36,0)+IF(C74=5,I74*Habitat!$M$36,0)</f>
        <v>0</v>
      </c>
      <c r="K74" s="48">
        <f>IF(C74=1,I74*Habitat!$I$35,0)+IF(C74=2,I74*Habitat!$J$35,0)+IF(C74=3,I74*Habitat!$K$35,0)+IF(C74=4,I74*Habitat!$L$35,0)+IF(C74=5,I74*Habitat!$M$35,0)</f>
        <v>0</v>
      </c>
      <c r="L74" s="48">
        <f>IF(C74=1,I74*Habitat!$I$34,0)+IF(C74=2,I74*Habitat!$J$34,0)+IF(C74=3,I74*Habitat!$K$34,0)+IF(C74=4,I74*Habitat!$L$34,0)+IF(C74=5,I74*Habitat!$M$34,0)+IF(C74=6,I74*Habitat!$N$34,0)</f>
        <v>0</v>
      </c>
      <c r="M74" s="48">
        <f>IF(C74=1,I74*Habitat!$I$37,0)+IF(C74=2,I74*Habitat!$J$37,0)+IF(C74=3,I74*Habitat!$K$37,0)+IF(C74=4,I74*Habitat!$L$37,0)+IF(C74=5,I74*Habitat!$M$37,0)</f>
        <v>0</v>
      </c>
      <c r="N74" s="48">
        <f>IF(C74=1,I74*Habitat!$I$38,0)+IF(C74=2,I74*Habitat!$J$38,0)+IF(C74=3,I74*Habitat!$K$38,0)+IF(C74=4,I74*Habitat!$L$38,0)+IF(C74=5,I74*Habitat!$M$38,0)*IF(C74=7,I74*Habitat!$O$38,0)</f>
        <v>0</v>
      </c>
      <c r="O74">
        <f>IF(C74=1,I74*Habitat!$I$39,0)+IF(C74=2,I74*Habitat!$J$39,0)+IF(C74=3,I74*Habitat!$K$39,0)+IF(C74=4,I74*Habitat!$L$39,0)+IF(C74=5,I74*Habitat!$M$39,0)</f>
        <v>0</v>
      </c>
    </row>
    <row r="75" spans="1:15">
      <c r="A75">
        <f t="shared" si="10"/>
        <v>64</v>
      </c>
      <c r="C75" s="5">
        <v>3</v>
      </c>
      <c r="D75" s="56">
        <f t="shared" si="12"/>
        <v>1120</v>
      </c>
      <c r="E75" s="48">
        <f t="shared" si="13"/>
        <v>345</v>
      </c>
      <c r="F75" s="3">
        <f>Habitat!$D$22*D75</f>
        <v>13.806289308176101</v>
      </c>
      <c r="G75" s="3">
        <f t="shared" si="0"/>
        <v>0</v>
      </c>
      <c r="H75" s="3">
        <f>IF(D75&lt;$C$7,0,IF(D75&gt;$C$6,0,1))</f>
        <v>0</v>
      </c>
      <c r="I75" s="47">
        <f t="shared" si="16"/>
        <v>0</v>
      </c>
      <c r="J75" s="48">
        <f>IF(C75=1,I75*Habitat!$I$36,0)+IF(C75=2,I75*Habitat!$J$36,0)+IF(C75=3,I75*Habitat!$K$36,0)+IF(C75=4,I75*Habitat!$L$36,0)+IF(C75=5,I75*Habitat!$M$36,0)</f>
        <v>0</v>
      </c>
      <c r="K75" s="48">
        <f>IF(C75=1,I75*Habitat!$I$35,0)+IF(C75=2,I75*Habitat!$J$35,0)+IF(C75=3,I75*Habitat!$K$35,0)+IF(C75=4,I75*Habitat!$L$35,0)+IF(C75=5,I75*Habitat!$M$35,0)</f>
        <v>0</v>
      </c>
      <c r="L75" s="48">
        <f>IF(C75=1,I75*Habitat!$I$34,0)+IF(C75=2,I75*Habitat!$J$34,0)+IF(C75=3,I75*Habitat!$K$34,0)+IF(C75=4,I75*Habitat!$L$34,0)+IF(C75=5,I75*Habitat!$M$34,0)+IF(C75=6,I75*Habitat!$N$34,0)</f>
        <v>0</v>
      </c>
      <c r="M75" s="48">
        <f>IF(C75=1,I75*Habitat!$I$37,0)+IF(C75=2,I75*Habitat!$J$37,0)+IF(C75=3,I75*Habitat!$K$37,0)+IF(C75=4,I75*Habitat!$L$37,0)+IF(C75=5,I75*Habitat!$M$37,0)</f>
        <v>0</v>
      </c>
      <c r="N75" s="48">
        <f>IF(C75=1,I75*Habitat!$I$38,0)+IF(C75=2,I75*Habitat!$J$38,0)+IF(C75=3,I75*Habitat!$K$38,0)+IF(C75=4,I75*Habitat!$L$38,0)+IF(C75=5,I75*Habitat!$M$38,0)*IF(C75=7,I75*Habitat!$O$38,0)</f>
        <v>0</v>
      </c>
      <c r="O75">
        <f>IF(C75=1,I75*Habitat!$I$39,0)+IF(C75=2,I75*Habitat!$J$39,0)+IF(C75=3,I75*Habitat!$K$39,0)+IF(C75=4,I75*Habitat!$L$39,0)+IF(C75=5,I75*Habitat!$M$39,0)</f>
        <v>0</v>
      </c>
    </row>
    <row r="76" spans="1:15">
      <c r="A76">
        <f t="shared" si="10"/>
        <v>65</v>
      </c>
      <c r="C76" s="5">
        <v>3</v>
      </c>
      <c r="D76" s="56">
        <f t="shared" si="12"/>
        <v>1125</v>
      </c>
      <c r="E76" s="48">
        <f t="shared" si="13"/>
        <v>350</v>
      </c>
      <c r="F76" s="3">
        <f>Habitat!$D$22*D76</f>
        <v>13.867924528301886</v>
      </c>
      <c r="G76" s="3">
        <f t="shared" ref="G76:G139" si="17">IF(H76,F76/9.8,0)</f>
        <v>0</v>
      </c>
      <c r="H76" s="3">
        <f>IF(D76&lt;$C$7,0,IF(D76&gt;$C$6,0,1))</f>
        <v>0</v>
      </c>
      <c r="I76" s="47">
        <f t="shared" si="16"/>
        <v>0</v>
      </c>
      <c r="J76" s="48">
        <f>IF(C76=1,I76*Habitat!$I$36,0)+IF(C76=2,I76*Habitat!$J$36,0)+IF(C76=3,I76*Habitat!$K$36,0)+IF(C76=4,I76*Habitat!$L$36,0)+IF(C76=5,I76*Habitat!$M$36,0)</f>
        <v>0</v>
      </c>
      <c r="K76" s="48">
        <f>IF(C76=1,I76*Habitat!$I$35,0)+IF(C76=2,I76*Habitat!$J$35,0)+IF(C76=3,I76*Habitat!$K$35,0)+IF(C76=4,I76*Habitat!$L$35,0)+IF(C76=5,I76*Habitat!$M$35,0)</f>
        <v>0</v>
      </c>
      <c r="L76" s="48">
        <f>IF(C76=1,I76*Habitat!$I$34,0)+IF(C76=2,I76*Habitat!$J$34,0)+IF(C76=3,I76*Habitat!$K$34,0)+IF(C76=4,I76*Habitat!$L$34,0)+IF(C76=5,I76*Habitat!$M$34,0)+IF(C76=6,I76*Habitat!$N$34,0)</f>
        <v>0</v>
      </c>
      <c r="M76" s="48">
        <f>IF(C76=1,I76*Habitat!$I$37,0)+IF(C76=2,I76*Habitat!$J$37,0)+IF(C76=3,I76*Habitat!$K$37,0)+IF(C76=4,I76*Habitat!$L$37,0)+IF(C76=5,I76*Habitat!$M$37,0)</f>
        <v>0</v>
      </c>
      <c r="N76" s="48">
        <f>IF(C76=1,I76*Habitat!$I$38,0)+IF(C76=2,I76*Habitat!$J$38,0)+IF(C76=3,I76*Habitat!$K$38,0)+IF(C76=4,I76*Habitat!$L$38,0)+IF(C76=5,I76*Habitat!$M$38,0)*IF(C76=7,I76*Habitat!$O$38,0)</f>
        <v>0</v>
      </c>
      <c r="O76">
        <f>IF(C76=1,I76*Habitat!$I$39,0)+IF(C76=2,I76*Habitat!$J$39,0)+IF(C76=3,I76*Habitat!$K$39,0)+IF(C76=4,I76*Habitat!$L$39,0)+IF(C76=5,I76*Habitat!$M$39,0)</f>
        <v>0</v>
      </c>
    </row>
    <row r="77" spans="1:15">
      <c r="A77">
        <f t="shared" ref="A77:A100" si="18">A76+1</f>
        <v>66</v>
      </c>
      <c r="C77" s="5">
        <v>3</v>
      </c>
      <c r="D77" s="56">
        <f t="shared" ref="D77:D140" si="19">D76+IF(C77=2,2*$C$3,$C$3)</f>
        <v>1130</v>
      </c>
      <c r="E77" s="48">
        <f t="shared" si="13"/>
        <v>355</v>
      </c>
      <c r="F77" s="3">
        <f>Habitat!$D$22*D77</f>
        <v>13.929559748427673</v>
      </c>
      <c r="G77" s="3">
        <f t="shared" si="17"/>
        <v>0</v>
      </c>
      <c r="H77" s="3">
        <f>IF(D77&lt;$C$7,0,IF(D77&gt;$C$6,0,1))</f>
        <v>0</v>
      </c>
      <c r="I77" s="47">
        <f t="shared" si="16"/>
        <v>0</v>
      </c>
      <c r="J77" s="48">
        <f>IF(C77=1,I77*Habitat!$I$36,0)+IF(C77=2,I77*Habitat!$J$36,0)+IF(C77=3,I77*Habitat!$K$36,0)+IF(C77=4,I77*Habitat!$L$36,0)+IF(C77=5,I77*Habitat!$M$36,0)</f>
        <v>0</v>
      </c>
      <c r="K77" s="48">
        <f>IF(C77=1,I77*Habitat!$I$35,0)+IF(C77=2,I77*Habitat!$J$35,0)+IF(C77=3,I77*Habitat!$K$35,0)+IF(C77=4,I77*Habitat!$L$35,0)+IF(C77=5,I77*Habitat!$M$35,0)</f>
        <v>0</v>
      </c>
      <c r="L77" s="48">
        <f>IF(C77=1,I77*Habitat!$I$34,0)+IF(C77=2,I77*Habitat!$J$34,0)+IF(C77=3,I77*Habitat!$K$34,0)+IF(C77=4,I77*Habitat!$L$34,0)+IF(C77=5,I77*Habitat!$M$34,0)+IF(C77=6,I77*Habitat!$N$34,0)</f>
        <v>0</v>
      </c>
      <c r="M77" s="48">
        <f>IF(C77=1,I77*Habitat!$I$37,0)+IF(C77=2,I77*Habitat!$J$37,0)+IF(C77=3,I77*Habitat!$K$37,0)+IF(C77=4,I77*Habitat!$L$37,0)+IF(C77=5,I77*Habitat!$M$37,0)</f>
        <v>0</v>
      </c>
      <c r="N77" s="48">
        <f>IF(C77=1,I77*Habitat!$I$38,0)+IF(C77=2,I77*Habitat!$J$38,0)+IF(C77=3,I77*Habitat!$K$38,0)+IF(C77=4,I77*Habitat!$L$38,0)+IF(C77=5,I77*Habitat!$M$38,0)*IF(C77=7,I77*Habitat!$O$38,0)</f>
        <v>0</v>
      </c>
      <c r="O77">
        <f>IF(C77=1,I77*Habitat!$I$39,0)+IF(C77=2,I77*Habitat!$J$39,0)+IF(C77=3,I77*Habitat!$K$39,0)+IF(C77=4,I77*Habitat!$L$39,0)+IF(C77=5,I77*Habitat!$M$39,0)</f>
        <v>0</v>
      </c>
    </row>
    <row r="78" spans="1:15">
      <c r="A78">
        <f t="shared" si="18"/>
        <v>67</v>
      </c>
      <c r="C78" s="5">
        <v>3</v>
      </c>
      <c r="D78" s="56">
        <f t="shared" si="19"/>
        <v>1135</v>
      </c>
      <c r="E78" s="48">
        <f t="shared" si="13"/>
        <v>360</v>
      </c>
      <c r="F78" s="3">
        <f>Habitat!$D$22*D78</f>
        <v>13.99119496855346</v>
      </c>
      <c r="G78" s="3">
        <f t="shared" si="17"/>
        <v>0</v>
      </c>
      <c r="H78" s="3">
        <f>IF(D78&lt;$C$7,0,IF(D78&gt;$C$6,0,1))</f>
        <v>0</v>
      </c>
      <c r="I78" s="47">
        <f t="shared" si="16"/>
        <v>0</v>
      </c>
      <c r="J78" s="48">
        <f>IF(C78=1,I78*Habitat!$I$36,0)+IF(C78=2,I78*Habitat!$J$36,0)+IF(C78=3,I78*Habitat!$K$36,0)+IF(C78=4,I78*Habitat!$L$36,0)+IF(C78=5,I78*Habitat!$M$36,0)</f>
        <v>0</v>
      </c>
      <c r="K78" s="48">
        <f>IF(C78=1,I78*Habitat!$I$35,0)+IF(C78=2,I78*Habitat!$J$35,0)+IF(C78=3,I78*Habitat!$K$35,0)+IF(C78=4,I78*Habitat!$L$35,0)+IF(C78=5,I78*Habitat!$M$35,0)</f>
        <v>0</v>
      </c>
      <c r="L78" s="48">
        <f>IF(C78=1,I78*Habitat!$I$34,0)+IF(C78=2,I78*Habitat!$J$34,0)+IF(C78=3,I78*Habitat!$K$34,0)+IF(C78=4,I78*Habitat!$L$34,0)+IF(C78=5,I78*Habitat!$M$34,0)+IF(C78=6,I78*Habitat!$N$34,0)</f>
        <v>0</v>
      </c>
      <c r="M78" s="48">
        <f>IF(C78=1,I78*Habitat!$I$37,0)+IF(C78=2,I78*Habitat!$J$37,0)+IF(C78=3,I78*Habitat!$K$37,0)+IF(C78=4,I78*Habitat!$L$37,0)+IF(C78=5,I78*Habitat!$M$37,0)</f>
        <v>0</v>
      </c>
      <c r="N78" s="48">
        <f>IF(C78=1,I78*Habitat!$I$38,0)+IF(C78=2,I78*Habitat!$J$38,0)+IF(C78=3,I78*Habitat!$K$38,0)+IF(C78=4,I78*Habitat!$L$38,0)+IF(C78=5,I78*Habitat!$M$38,0)*IF(C78=7,I78*Habitat!$O$38,0)</f>
        <v>0</v>
      </c>
      <c r="O78">
        <f>IF(C78=1,I78*Habitat!$I$39,0)+IF(C78=2,I78*Habitat!$J$39,0)+IF(C78=3,I78*Habitat!$K$39,0)+IF(C78=4,I78*Habitat!$L$39,0)+IF(C78=5,I78*Habitat!$M$39,0)</f>
        <v>0</v>
      </c>
    </row>
    <row r="79" spans="1:15">
      <c r="A79">
        <f t="shared" si="18"/>
        <v>68</v>
      </c>
      <c r="C79" s="5">
        <v>3</v>
      </c>
      <c r="D79" s="56">
        <f t="shared" si="19"/>
        <v>1140</v>
      </c>
      <c r="E79" s="48">
        <f t="shared" si="13"/>
        <v>365</v>
      </c>
      <c r="F79" s="3">
        <f>Habitat!$D$22*D79</f>
        <v>14.052830188679245</v>
      </c>
      <c r="G79" s="3">
        <f t="shared" si="17"/>
        <v>0</v>
      </c>
      <c r="H79" s="3">
        <f>IF(D79&lt;$C$7,0,IF(D79&gt;$C$6,0,1))</f>
        <v>0</v>
      </c>
      <c r="I79" s="47">
        <f t="shared" si="16"/>
        <v>0</v>
      </c>
      <c r="J79" s="48">
        <f>IF(C79=1,I79*Habitat!$I$36,0)+IF(C79=2,I79*Habitat!$J$36,0)+IF(C79=3,I79*Habitat!$K$36,0)+IF(C79=4,I79*Habitat!$L$36,0)+IF(C79=5,I79*Habitat!$M$36,0)</f>
        <v>0</v>
      </c>
      <c r="K79" s="48">
        <f>IF(C79=1,I79*Habitat!$I$35,0)+IF(C79=2,I79*Habitat!$J$35,0)+IF(C79=3,I79*Habitat!$K$35,0)+IF(C79=4,I79*Habitat!$L$35,0)+IF(C79=5,I79*Habitat!$M$35,0)</f>
        <v>0</v>
      </c>
      <c r="L79" s="48">
        <f>IF(C79=1,I79*Habitat!$I$34,0)+IF(C79=2,I79*Habitat!$J$34,0)+IF(C79=3,I79*Habitat!$K$34,0)+IF(C79=4,I79*Habitat!$L$34,0)+IF(C79=5,I79*Habitat!$M$34,0)+IF(C79=6,I79*Habitat!$N$34,0)</f>
        <v>0</v>
      </c>
      <c r="M79" s="48">
        <f>IF(C79=1,I79*Habitat!$I$37,0)+IF(C79=2,I79*Habitat!$J$37,0)+IF(C79=3,I79*Habitat!$K$37,0)+IF(C79=4,I79*Habitat!$L$37,0)+IF(C79=5,I79*Habitat!$M$37,0)</f>
        <v>0</v>
      </c>
      <c r="N79" s="48">
        <f>IF(C79=1,I79*Habitat!$I$38,0)+IF(C79=2,I79*Habitat!$J$38,0)+IF(C79=3,I79*Habitat!$K$38,0)+IF(C79=4,I79*Habitat!$L$38,0)+IF(C79=5,I79*Habitat!$M$38,0)*IF(C79=7,I79*Habitat!$O$38,0)</f>
        <v>0</v>
      </c>
      <c r="O79">
        <f>IF(C79=1,I79*Habitat!$I$39,0)+IF(C79=2,I79*Habitat!$J$39,0)+IF(C79=3,I79*Habitat!$K$39,0)+IF(C79=4,I79*Habitat!$L$39,0)+IF(C79=5,I79*Habitat!$M$39,0)</f>
        <v>0</v>
      </c>
    </row>
    <row r="80" spans="1:15">
      <c r="A80">
        <f t="shared" si="18"/>
        <v>69</v>
      </c>
      <c r="C80" s="5">
        <v>3</v>
      </c>
      <c r="D80" s="56">
        <f t="shared" si="19"/>
        <v>1145</v>
      </c>
      <c r="E80" s="48">
        <f t="shared" si="13"/>
        <v>370</v>
      </c>
      <c r="F80" s="3">
        <f>Habitat!$D$22*D80</f>
        <v>14.114465408805032</v>
      </c>
      <c r="G80" s="3">
        <f t="shared" si="17"/>
        <v>0</v>
      </c>
      <c r="H80" s="3">
        <f>IF(D80&lt;$C$7,0,IF(D80&gt;$C$6,0,1))</f>
        <v>0</v>
      </c>
      <c r="I80" s="47">
        <f t="shared" si="16"/>
        <v>0</v>
      </c>
      <c r="J80" s="48">
        <f>IF(C80=1,I80*Habitat!$I$36,0)+IF(C80=2,I80*Habitat!$J$36,0)+IF(C80=3,I80*Habitat!$K$36,0)+IF(C80=4,I80*Habitat!$L$36,0)+IF(C80=5,I80*Habitat!$M$36,0)</f>
        <v>0</v>
      </c>
      <c r="K80" s="48">
        <f>IF(C80=1,I80*Habitat!$I$35,0)+IF(C80=2,I80*Habitat!$J$35,0)+IF(C80=3,I80*Habitat!$K$35,0)+IF(C80=4,I80*Habitat!$L$35,0)+IF(C80=5,I80*Habitat!$M$35,0)</f>
        <v>0</v>
      </c>
      <c r="L80" s="48">
        <f>IF(C80=1,I80*Habitat!$I$34,0)+IF(C80=2,I80*Habitat!$J$34,0)+IF(C80=3,I80*Habitat!$K$34,0)+IF(C80=4,I80*Habitat!$L$34,0)+IF(C80=5,I80*Habitat!$M$34,0)+IF(C80=6,I80*Habitat!$N$34,0)</f>
        <v>0</v>
      </c>
      <c r="M80" s="48">
        <f>IF(C80=1,I80*Habitat!$I$37,0)+IF(C80=2,I80*Habitat!$J$37,0)+IF(C80=3,I80*Habitat!$K$37,0)+IF(C80=4,I80*Habitat!$L$37,0)+IF(C80=5,I80*Habitat!$M$37,0)</f>
        <v>0</v>
      </c>
      <c r="N80" s="48">
        <f>IF(C80=1,I80*Habitat!$I$38,0)+IF(C80=2,I80*Habitat!$J$38,0)+IF(C80=3,I80*Habitat!$K$38,0)+IF(C80=4,I80*Habitat!$L$38,0)+IF(C80=5,I80*Habitat!$M$38,0)*IF(C80=7,I80*Habitat!$O$38,0)</f>
        <v>0</v>
      </c>
      <c r="O80">
        <f>IF(C80=1,I80*Habitat!$I$39,0)+IF(C80=2,I80*Habitat!$J$39,0)+IF(C80=3,I80*Habitat!$K$39,0)+IF(C80=4,I80*Habitat!$L$39,0)+IF(C80=5,I80*Habitat!$M$39,0)</f>
        <v>0</v>
      </c>
    </row>
    <row r="81" spans="1:15">
      <c r="A81">
        <f t="shared" si="18"/>
        <v>70</v>
      </c>
      <c r="C81" s="5">
        <v>3</v>
      </c>
      <c r="D81" s="56">
        <f t="shared" si="19"/>
        <v>1150</v>
      </c>
      <c r="E81" s="48">
        <f t="shared" si="13"/>
        <v>375</v>
      </c>
      <c r="F81" s="3">
        <f>Habitat!$D$22*D81</f>
        <v>14.176100628930818</v>
      </c>
      <c r="G81" s="3">
        <f t="shared" si="17"/>
        <v>0</v>
      </c>
      <c r="H81" s="3">
        <f>IF(D81&lt;$C$7,0,IF(D81&gt;$C$6,0,1))</f>
        <v>0</v>
      </c>
      <c r="I81" s="47">
        <f t="shared" si="16"/>
        <v>0</v>
      </c>
      <c r="J81" s="48">
        <f>IF(C81=1,I81*Habitat!$I$36,0)+IF(C81=2,I81*Habitat!$J$36,0)+IF(C81=3,I81*Habitat!$K$36,0)+IF(C81=4,I81*Habitat!$L$36,0)+IF(C81=5,I81*Habitat!$M$36,0)</f>
        <v>0</v>
      </c>
      <c r="K81" s="48">
        <f>IF(C81=1,I81*Habitat!$I$35,0)+IF(C81=2,I81*Habitat!$J$35,0)+IF(C81=3,I81*Habitat!$K$35,0)+IF(C81=4,I81*Habitat!$L$35,0)+IF(C81=5,I81*Habitat!$M$35,0)</f>
        <v>0</v>
      </c>
      <c r="L81" s="48">
        <f>IF(C81=1,I81*Habitat!$I$34,0)+IF(C81=2,I81*Habitat!$J$34,0)+IF(C81=3,I81*Habitat!$K$34,0)+IF(C81=4,I81*Habitat!$L$34,0)+IF(C81=5,I81*Habitat!$M$34,0)+IF(C81=6,I81*Habitat!$N$34,0)</f>
        <v>0</v>
      </c>
      <c r="M81" s="48">
        <f>IF(C81=1,I81*Habitat!$I$37,0)+IF(C81=2,I81*Habitat!$J$37,0)+IF(C81=3,I81*Habitat!$K$37,0)+IF(C81=4,I81*Habitat!$L$37,0)+IF(C81=5,I81*Habitat!$M$37,0)</f>
        <v>0</v>
      </c>
      <c r="N81" s="48">
        <f>IF(C81=1,I81*Habitat!$I$38,0)+IF(C81=2,I81*Habitat!$J$38,0)+IF(C81=3,I81*Habitat!$K$38,0)+IF(C81=4,I81*Habitat!$L$38,0)+IF(C81=5,I81*Habitat!$M$38,0)*IF(C81=7,I81*Habitat!$O$38,0)</f>
        <v>0</v>
      </c>
      <c r="O81">
        <f>IF(C81=1,I81*Habitat!$I$39,0)+IF(C81=2,I81*Habitat!$J$39,0)+IF(C81=3,I81*Habitat!$K$39,0)+IF(C81=4,I81*Habitat!$L$39,0)+IF(C81=5,I81*Habitat!$M$39,0)</f>
        <v>0</v>
      </c>
    </row>
    <row r="82" spans="1:15">
      <c r="A82">
        <f t="shared" si="18"/>
        <v>71</v>
      </c>
      <c r="C82" s="5">
        <v>3</v>
      </c>
      <c r="D82" s="56">
        <f t="shared" si="19"/>
        <v>1155</v>
      </c>
      <c r="E82" s="48">
        <f t="shared" si="13"/>
        <v>380</v>
      </c>
      <c r="F82" s="3">
        <f>Habitat!$D$22*D82</f>
        <v>14.237735849056603</v>
      </c>
      <c r="G82" s="3">
        <f t="shared" si="17"/>
        <v>0</v>
      </c>
      <c r="H82" s="3">
        <f>IF(D82&lt;$C$7,0,IF(D82&gt;$C$6,0,1))</f>
        <v>0</v>
      </c>
      <c r="I82" s="47">
        <f t="shared" si="16"/>
        <v>0</v>
      </c>
      <c r="J82" s="48">
        <f>IF(C82=1,I82*Habitat!$I$36,0)+IF(C82=2,I82*Habitat!$J$36,0)+IF(C82=3,I82*Habitat!$K$36,0)+IF(C82=4,I82*Habitat!$L$36,0)+IF(C82=5,I82*Habitat!$M$36,0)</f>
        <v>0</v>
      </c>
      <c r="K82" s="48">
        <f>IF(C82=1,I82*Habitat!$I$35,0)+IF(C82=2,I82*Habitat!$J$35,0)+IF(C82=3,I82*Habitat!$K$35,0)+IF(C82=4,I82*Habitat!$L$35,0)+IF(C82=5,I82*Habitat!$M$35,0)</f>
        <v>0</v>
      </c>
      <c r="L82" s="48">
        <f>IF(C82=1,I82*Habitat!$I$34,0)+IF(C82=2,I82*Habitat!$J$34,0)+IF(C82=3,I82*Habitat!$K$34,0)+IF(C82=4,I82*Habitat!$L$34,0)+IF(C82=5,I82*Habitat!$M$34,0)+IF(C82=6,I82*Habitat!$N$34,0)</f>
        <v>0</v>
      </c>
      <c r="M82" s="48">
        <f>IF(C82=1,I82*Habitat!$I$37,0)+IF(C82=2,I82*Habitat!$J$37,0)+IF(C82=3,I82*Habitat!$K$37,0)+IF(C82=4,I82*Habitat!$L$37,0)+IF(C82=5,I82*Habitat!$M$37,0)</f>
        <v>0</v>
      </c>
      <c r="N82" s="48">
        <f>IF(C82=1,I82*Habitat!$I$38,0)+IF(C82=2,I82*Habitat!$J$38,0)+IF(C82=3,I82*Habitat!$K$38,0)+IF(C82=4,I82*Habitat!$L$38,0)+IF(C82=5,I82*Habitat!$M$38,0)*IF(C82=7,I82*Habitat!$O$38,0)</f>
        <v>0</v>
      </c>
      <c r="O82">
        <f>IF(C82=1,I82*Habitat!$I$39,0)+IF(C82=2,I82*Habitat!$J$39,0)+IF(C82=3,I82*Habitat!$K$39,0)+IF(C82=4,I82*Habitat!$L$39,0)+IF(C82=5,I82*Habitat!$M$39,0)</f>
        <v>0</v>
      </c>
    </row>
    <row r="83" spans="1:15">
      <c r="A83">
        <f t="shared" si="18"/>
        <v>72</v>
      </c>
      <c r="C83" s="5">
        <v>3</v>
      </c>
      <c r="D83" s="56">
        <f t="shared" si="19"/>
        <v>1160</v>
      </c>
      <c r="E83" s="48">
        <f t="shared" si="13"/>
        <v>385</v>
      </c>
      <c r="F83" s="3">
        <f>Habitat!$D$22*D83</f>
        <v>14.29937106918239</v>
      </c>
      <c r="G83" s="3">
        <f t="shared" si="17"/>
        <v>0</v>
      </c>
      <c r="H83" s="3">
        <f>IF(D83&lt;$C$7,0,IF(D83&gt;$C$6,0,1))</f>
        <v>0</v>
      </c>
      <c r="I83" s="47">
        <f t="shared" si="16"/>
        <v>0</v>
      </c>
      <c r="J83" s="48">
        <f>IF(C83=1,I83*Habitat!$I$36,0)+IF(C83=2,I83*Habitat!$J$36,0)+IF(C83=3,I83*Habitat!$K$36,0)+IF(C83=4,I83*Habitat!$L$36,0)+IF(C83=5,I83*Habitat!$M$36,0)</f>
        <v>0</v>
      </c>
      <c r="K83" s="48">
        <f>IF(C83=1,I83*Habitat!$I$35,0)+IF(C83=2,I83*Habitat!$J$35,0)+IF(C83=3,I83*Habitat!$K$35,0)+IF(C83=4,I83*Habitat!$L$35,0)+IF(C83=5,I83*Habitat!$M$35,0)</f>
        <v>0</v>
      </c>
      <c r="L83" s="48">
        <f>IF(C83=1,I83*Habitat!$I$34,0)+IF(C83=2,I83*Habitat!$J$34,0)+IF(C83=3,I83*Habitat!$K$34,0)+IF(C83=4,I83*Habitat!$L$34,0)+IF(C83=5,I83*Habitat!$M$34,0)+IF(C83=6,I83*Habitat!$N$34,0)</f>
        <v>0</v>
      </c>
      <c r="M83" s="48">
        <f>IF(C83=1,I83*Habitat!$I$37,0)+IF(C83=2,I83*Habitat!$J$37,0)+IF(C83=3,I83*Habitat!$K$37,0)+IF(C83=4,I83*Habitat!$L$37,0)+IF(C83=5,I83*Habitat!$M$37,0)</f>
        <v>0</v>
      </c>
      <c r="N83" s="48">
        <f>IF(C83=1,I83*Habitat!$I$38,0)+IF(C83=2,I83*Habitat!$J$38,0)+IF(C83=3,I83*Habitat!$K$38,0)+IF(C83=4,I83*Habitat!$L$38,0)+IF(C83=5,I83*Habitat!$M$38,0)*IF(C83=7,I83*Habitat!$O$38,0)</f>
        <v>0</v>
      </c>
      <c r="O83">
        <f>IF(C83=1,I83*Habitat!$I$39,0)+IF(C83=2,I83*Habitat!$J$39,0)+IF(C83=3,I83*Habitat!$K$39,0)+IF(C83=4,I83*Habitat!$L$39,0)+IF(C83=5,I83*Habitat!$M$39,0)</f>
        <v>0</v>
      </c>
    </row>
    <row r="84" spans="1:15">
      <c r="A84">
        <f t="shared" si="18"/>
        <v>73</v>
      </c>
      <c r="C84" s="5">
        <v>3</v>
      </c>
      <c r="D84" s="56">
        <f t="shared" si="19"/>
        <v>1165</v>
      </c>
      <c r="E84" s="48">
        <f t="shared" si="13"/>
        <v>390</v>
      </c>
      <c r="F84" s="3">
        <f>Habitat!$D$22*D84</f>
        <v>14.361006289308175</v>
      </c>
      <c r="G84" s="3">
        <f t="shared" si="17"/>
        <v>0</v>
      </c>
      <c r="H84" s="3">
        <f>IF(D84&lt;$C$7,0,IF(D84&gt;$C$6,0,1))</f>
        <v>0</v>
      </c>
      <c r="I84" s="47">
        <f t="shared" si="16"/>
        <v>0</v>
      </c>
      <c r="J84" s="48">
        <f>IF(C84=1,I84*Habitat!$I$36,0)+IF(C84=2,I84*Habitat!$J$36,0)+IF(C84=3,I84*Habitat!$K$36,0)+IF(C84=4,I84*Habitat!$L$36,0)+IF(C84=5,I84*Habitat!$M$36,0)</f>
        <v>0</v>
      </c>
      <c r="K84" s="48">
        <f>IF(C84=1,I84*Habitat!$I$35,0)+IF(C84=2,I84*Habitat!$J$35,0)+IF(C84=3,I84*Habitat!$K$35,0)+IF(C84=4,I84*Habitat!$L$35,0)+IF(C84=5,I84*Habitat!$M$35,0)</f>
        <v>0</v>
      </c>
      <c r="L84" s="48">
        <f>IF(C84=1,I84*Habitat!$I$34,0)+IF(C84=2,I84*Habitat!$J$34,0)+IF(C84=3,I84*Habitat!$K$34,0)+IF(C84=4,I84*Habitat!$L$34,0)+IF(C84=5,I84*Habitat!$M$34,0)+IF(C84=6,I84*Habitat!$N$34,0)</f>
        <v>0</v>
      </c>
      <c r="M84" s="48">
        <f>IF(C84=1,I84*Habitat!$I$37,0)+IF(C84=2,I84*Habitat!$J$37,0)+IF(C84=3,I84*Habitat!$K$37,0)+IF(C84=4,I84*Habitat!$L$37,0)+IF(C84=5,I84*Habitat!$M$37,0)</f>
        <v>0</v>
      </c>
      <c r="N84" s="48">
        <f>IF(C84=1,I84*Habitat!$I$38,0)+IF(C84=2,I84*Habitat!$J$38,0)+IF(C84=3,I84*Habitat!$K$38,0)+IF(C84=4,I84*Habitat!$L$38,0)+IF(C84=5,I84*Habitat!$M$38,0)*IF(C84=7,I84*Habitat!$O$38,0)</f>
        <v>0</v>
      </c>
      <c r="O84">
        <f>IF(C84=1,I84*Habitat!$I$39,0)+IF(C84=2,I84*Habitat!$J$39,0)+IF(C84=3,I84*Habitat!$K$39,0)+IF(C84=4,I84*Habitat!$L$39,0)+IF(C84=5,I84*Habitat!$M$39,0)</f>
        <v>0</v>
      </c>
    </row>
    <row r="85" spans="1:15">
      <c r="A85">
        <f t="shared" si="18"/>
        <v>74</v>
      </c>
      <c r="C85" s="5">
        <v>3</v>
      </c>
      <c r="D85" s="56">
        <f t="shared" si="19"/>
        <v>1170</v>
      </c>
      <c r="E85" s="48">
        <f t="shared" si="13"/>
        <v>395</v>
      </c>
      <c r="F85" s="3">
        <f>Habitat!$D$22*D85</f>
        <v>14.422641509433962</v>
      </c>
      <c r="G85" s="3">
        <f t="shared" si="17"/>
        <v>0</v>
      </c>
      <c r="H85" s="3">
        <f>IF(D85&lt;$C$7,0,IF(D85&gt;$C$6,0,1))</f>
        <v>0</v>
      </c>
      <c r="I85" s="47">
        <f t="shared" si="16"/>
        <v>0</v>
      </c>
      <c r="J85" s="48">
        <f>IF(C85=1,I85*Habitat!$I$36,0)+IF(C85=2,I85*Habitat!$J$36,0)+IF(C85=3,I85*Habitat!$K$36,0)+IF(C85=4,I85*Habitat!$L$36,0)+IF(C85=5,I85*Habitat!$M$36,0)</f>
        <v>0</v>
      </c>
      <c r="K85" s="48">
        <f>IF(C85=1,I85*Habitat!$I$35,0)+IF(C85=2,I85*Habitat!$J$35,0)+IF(C85=3,I85*Habitat!$K$35,0)+IF(C85=4,I85*Habitat!$L$35,0)+IF(C85=5,I85*Habitat!$M$35,0)</f>
        <v>0</v>
      </c>
      <c r="L85" s="48">
        <f>IF(C85=1,I85*Habitat!$I$34,0)+IF(C85=2,I85*Habitat!$J$34,0)+IF(C85=3,I85*Habitat!$K$34,0)+IF(C85=4,I85*Habitat!$L$34,0)+IF(C85=5,I85*Habitat!$M$34,0)+IF(C85=6,I85*Habitat!$N$34,0)</f>
        <v>0</v>
      </c>
      <c r="M85" s="48">
        <f>IF(C85=1,I85*Habitat!$I$37,0)+IF(C85=2,I85*Habitat!$J$37,0)+IF(C85=3,I85*Habitat!$K$37,0)+IF(C85=4,I85*Habitat!$L$37,0)+IF(C85=5,I85*Habitat!$M$37,0)</f>
        <v>0</v>
      </c>
      <c r="N85" s="48">
        <f>IF(C85=1,I85*Habitat!$I$38,0)+IF(C85=2,I85*Habitat!$J$38,0)+IF(C85=3,I85*Habitat!$K$38,0)+IF(C85=4,I85*Habitat!$L$38,0)+IF(C85=5,I85*Habitat!$M$38,0)*IF(C85=7,I85*Habitat!$O$38,0)</f>
        <v>0</v>
      </c>
      <c r="O85">
        <f>IF(C85=1,I85*Habitat!$I$39,0)+IF(C85=2,I85*Habitat!$J$39,0)+IF(C85=3,I85*Habitat!$K$39,0)+IF(C85=4,I85*Habitat!$L$39,0)+IF(C85=5,I85*Habitat!$M$39,0)</f>
        <v>0</v>
      </c>
    </row>
    <row r="86" spans="1:15">
      <c r="A86">
        <f t="shared" si="18"/>
        <v>75</v>
      </c>
      <c r="C86" s="5">
        <v>3</v>
      </c>
      <c r="D86" s="56">
        <f t="shared" si="19"/>
        <v>1175</v>
      </c>
      <c r="E86" s="48">
        <f t="shared" si="13"/>
        <v>400</v>
      </c>
      <c r="F86" s="3">
        <f>Habitat!$D$22*D86</f>
        <v>14.484276729559749</v>
      </c>
      <c r="G86" s="3">
        <f t="shared" si="17"/>
        <v>0</v>
      </c>
      <c r="H86" s="3">
        <f>IF(D86&lt;$C$7,0,IF(D86&gt;$C$6,0,1))</f>
        <v>0</v>
      </c>
      <c r="I86" s="47">
        <f t="shared" si="16"/>
        <v>0</v>
      </c>
      <c r="J86" s="48">
        <f>IF(C86=1,I86*Habitat!$I$36,0)+IF(C86=2,I86*Habitat!$J$36,0)+IF(C86=3,I86*Habitat!$K$36,0)+IF(C86=4,I86*Habitat!$L$36,0)+IF(C86=5,I86*Habitat!$M$36,0)</f>
        <v>0</v>
      </c>
      <c r="K86" s="48">
        <f>IF(C86=1,I86*Habitat!$I$35,0)+IF(C86=2,I86*Habitat!$J$35,0)+IF(C86=3,I86*Habitat!$K$35,0)+IF(C86=4,I86*Habitat!$L$35,0)+IF(C86=5,I86*Habitat!$M$35,0)</f>
        <v>0</v>
      </c>
      <c r="L86" s="48">
        <f>IF(C86=1,I86*Habitat!$I$34,0)+IF(C86=2,I86*Habitat!$J$34,0)+IF(C86=3,I86*Habitat!$K$34,0)+IF(C86=4,I86*Habitat!$L$34,0)+IF(C86=5,I86*Habitat!$M$34,0)+IF(C86=6,I86*Habitat!$N$34,0)</f>
        <v>0</v>
      </c>
      <c r="M86" s="48">
        <f>IF(C86=1,I86*Habitat!$I$37,0)+IF(C86=2,I86*Habitat!$J$37,0)+IF(C86=3,I86*Habitat!$K$37,0)+IF(C86=4,I86*Habitat!$L$37,0)+IF(C86=5,I86*Habitat!$M$37,0)</f>
        <v>0</v>
      </c>
      <c r="N86" s="48">
        <f>IF(C86=1,I86*Habitat!$I$38,0)+IF(C86=2,I86*Habitat!$J$38,0)+IF(C86=3,I86*Habitat!$K$38,0)+IF(C86=4,I86*Habitat!$L$38,0)+IF(C86=5,I86*Habitat!$M$38,0)*IF(C86=7,I86*Habitat!$O$38,0)</f>
        <v>0</v>
      </c>
      <c r="O86">
        <f>IF(C86=1,I86*Habitat!$I$39,0)+IF(C86=2,I86*Habitat!$J$39,0)+IF(C86=3,I86*Habitat!$K$39,0)+IF(C86=4,I86*Habitat!$L$39,0)+IF(C86=5,I86*Habitat!$M$39,0)</f>
        <v>0</v>
      </c>
    </row>
    <row r="87" spans="1:15">
      <c r="A87">
        <f t="shared" si="18"/>
        <v>76</v>
      </c>
      <c r="C87" s="5">
        <v>3</v>
      </c>
      <c r="D87" s="56">
        <f t="shared" si="19"/>
        <v>1180</v>
      </c>
      <c r="E87" s="48">
        <f t="shared" si="13"/>
        <v>405</v>
      </c>
      <c r="F87" s="3">
        <f>Habitat!$D$22*D87</f>
        <v>14.545911949685534</v>
      </c>
      <c r="G87" s="3">
        <f t="shared" si="17"/>
        <v>0</v>
      </c>
      <c r="H87" s="3">
        <f>IF(D87&lt;$C$7,0,IF(D87&gt;$C$6,0,1))</f>
        <v>0</v>
      </c>
      <c r="I87" s="47">
        <f t="shared" si="16"/>
        <v>0</v>
      </c>
      <c r="J87" s="48">
        <f>IF(C87=1,I87*Habitat!$I$36,0)+IF(C87=2,I87*Habitat!$J$36,0)+IF(C87=3,I87*Habitat!$K$36,0)+IF(C87=4,I87*Habitat!$L$36,0)+IF(C87=5,I87*Habitat!$M$36,0)</f>
        <v>0</v>
      </c>
      <c r="K87" s="48">
        <f>IF(C87=1,I87*Habitat!$I$35,0)+IF(C87=2,I87*Habitat!$J$35,0)+IF(C87=3,I87*Habitat!$K$35,0)+IF(C87=4,I87*Habitat!$L$35,0)+IF(C87=5,I87*Habitat!$M$35,0)</f>
        <v>0</v>
      </c>
      <c r="L87" s="48">
        <f>IF(C87=1,I87*Habitat!$I$34,0)+IF(C87=2,I87*Habitat!$J$34,0)+IF(C87=3,I87*Habitat!$K$34,0)+IF(C87=4,I87*Habitat!$L$34,0)+IF(C87=5,I87*Habitat!$M$34,0)+IF(C87=6,I87*Habitat!$N$34,0)</f>
        <v>0</v>
      </c>
      <c r="M87" s="48">
        <f>IF(C87=1,I87*Habitat!$I$37,0)+IF(C87=2,I87*Habitat!$J$37,0)+IF(C87=3,I87*Habitat!$K$37,0)+IF(C87=4,I87*Habitat!$L$37,0)+IF(C87=5,I87*Habitat!$M$37,0)</f>
        <v>0</v>
      </c>
      <c r="N87" s="48">
        <f>IF(C87=1,I87*Habitat!$I$38,0)+IF(C87=2,I87*Habitat!$J$38,0)+IF(C87=3,I87*Habitat!$K$38,0)+IF(C87=4,I87*Habitat!$L$38,0)+IF(C87=5,I87*Habitat!$M$38,0)*IF(C87=7,I87*Habitat!$O$38,0)</f>
        <v>0</v>
      </c>
      <c r="O87">
        <f>IF(C87=1,I87*Habitat!$I$39,0)+IF(C87=2,I87*Habitat!$J$39,0)+IF(C87=3,I87*Habitat!$K$39,0)+IF(C87=4,I87*Habitat!$L$39,0)+IF(C87=5,I87*Habitat!$M$39,0)</f>
        <v>0</v>
      </c>
    </row>
    <row r="88" spans="1:15">
      <c r="A88">
        <f t="shared" si="18"/>
        <v>77</v>
      </c>
      <c r="C88" s="5">
        <v>3</v>
      </c>
      <c r="D88" s="56">
        <f t="shared" si="19"/>
        <v>1185</v>
      </c>
      <c r="E88" s="48">
        <f t="shared" si="13"/>
        <v>410</v>
      </c>
      <c r="F88" s="3">
        <f>Habitat!$D$22*D88</f>
        <v>14.607547169811321</v>
      </c>
      <c r="G88" s="3">
        <f t="shared" si="17"/>
        <v>0</v>
      </c>
      <c r="H88" s="3">
        <f>IF(D88&lt;$C$7,0,IF(D88&gt;$C$6,0,1))</f>
        <v>0</v>
      </c>
      <c r="I88" s="47">
        <f t="shared" si="16"/>
        <v>0</v>
      </c>
      <c r="J88" s="48">
        <f>IF(C88=1,I88*Habitat!$I$36,0)+IF(C88=2,I88*Habitat!$J$36,0)+IF(C88=3,I88*Habitat!$K$36,0)+IF(C88=4,I88*Habitat!$L$36,0)+IF(C88=5,I88*Habitat!$M$36,0)</f>
        <v>0</v>
      </c>
      <c r="K88" s="48">
        <f>IF(C88=1,I88*Habitat!$I$35,0)+IF(C88=2,I88*Habitat!$J$35,0)+IF(C88=3,I88*Habitat!$K$35,0)+IF(C88=4,I88*Habitat!$L$35,0)+IF(C88=5,I88*Habitat!$M$35,0)</f>
        <v>0</v>
      </c>
      <c r="L88" s="48">
        <f>IF(C88=1,I88*Habitat!$I$34,0)+IF(C88=2,I88*Habitat!$J$34,0)+IF(C88=3,I88*Habitat!$K$34,0)+IF(C88=4,I88*Habitat!$L$34,0)+IF(C88=5,I88*Habitat!$M$34,0)+IF(C88=6,I88*Habitat!$N$34,0)</f>
        <v>0</v>
      </c>
      <c r="M88" s="48">
        <f>IF(C88=1,I88*Habitat!$I$37,0)+IF(C88=2,I88*Habitat!$J$37,0)+IF(C88=3,I88*Habitat!$K$37,0)+IF(C88=4,I88*Habitat!$L$37,0)+IF(C88=5,I88*Habitat!$M$37,0)</f>
        <v>0</v>
      </c>
      <c r="N88" s="48">
        <f>IF(C88=1,I88*Habitat!$I$38,0)+IF(C88=2,I88*Habitat!$J$38,0)+IF(C88=3,I88*Habitat!$K$38,0)+IF(C88=4,I88*Habitat!$L$38,0)+IF(C88=5,I88*Habitat!$M$38,0)*IF(C88=7,I88*Habitat!$O$38,0)</f>
        <v>0</v>
      </c>
      <c r="O88">
        <f>IF(C88=1,I88*Habitat!$I$39,0)+IF(C88=2,I88*Habitat!$J$39,0)+IF(C88=3,I88*Habitat!$K$39,0)+IF(C88=4,I88*Habitat!$L$39,0)+IF(C88=5,I88*Habitat!$M$39,0)</f>
        <v>0</v>
      </c>
    </row>
    <row r="89" spans="1:15">
      <c r="A89">
        <f t="shared" si="18"/>
        <v>78</v>
      </c>
      <c r="C89" s="5">
        <v>3</v>
      </c>
      <c r="D89" s="56">
        <f t="shared" si="19"/>
        <v>1190</v>
      </c>
      <c r="E89" s="48">
        <f t="shared" si="13"/>
        <v>415</v>
      </c>
      <c r="F89" s="3">
        <f>Habitat!$D$22*D89</f>
        <v>14.669182389937108</v>
      </c>
      <c r="G89" s="3">
        <f t="shared" si="17"/>
        <v>0</v>
      </c>
      <c r="H89" s="3">
        <f>IF(D89&lt;$C$7,0,IF(D89&gt;$C$6,0,1))</f>
        <v>0</v>
      </c>
      <c r="I89" s="47">
        <f t="shared" si="16"/>
        <v>0</v>
      </c>
      <c r="J89" s="48">
        <f>IF(C89=1,I89*Habitat!$I$36,0)+IF(C89=2,I89*Habitat!$J$36,0)+IF(C89=3,I89*Habitat!$K$36,0)+IF(C89=4,I89*Habitat!$L$36,0)+IF(C89=5,I89*Habitat!$M$36,0)</f>
        <v>0</v>
      </c>
      <c r="K89" s="48">
        <f>IF(C89=1,I89*Habitat!$I$35,0)+IF(C89=2,I89*Habitat!$J$35,0)+IF(C89=3,I89*Habitat!$K$35,0)+IF(C89=4,I89*Habitat!$L$35,0)+IF(C89=5,I89*Habitat!$M$35,0)</f>
        <v>0</v>
      </c>
      <c r="L89" s="48">
        <f>IF(C89=1,I89*Habitat!$I$34,0)+IF(C89=2,I89*Habitat!$J$34,0)+IF(C89=3,I89*Habitat!$K$34,0)+IF(C89=4,I89*Habitat!$L$34,0)+IF(C89=5,I89*Habitat!$M$34,0)+IF(C89=6,I89*Habitat!$N$34,0)</f>
        <v>0</v>
      </c>
      <c r="M89" s="48">
        <f>IF(C89=1,I89*Habitat!$I$37,0)+IF(C89=2,I89*Habitat!$J$37,0)+IF(C89=3,I89*Habitat!$K$37,0)+IF(C89=4,I89*Habitat!$L$37,0)+IF(C89=5,I89*Habitat!$M$37,0)</f>
        <v>0</v>
      </c>
      <c r="N89" s="48">
        <f>IF(C89=1,I89*Habitat!$I$38,0)+IF(C89=2,I89*Habitat!$J$38,0)+IF(C89=3,I89*Habitat!$K$38,0)+IF(C89=4,I89*Habitat!$L$38,0)+IF(C89=5,I89*Habitat!$M$38,0)*IF(C89=7,I89*Habitat!$O$38,0)</f>
        <v>0</v>
      </c>
      <c r="O89">
        <f>IF(C89=1,I89*Habitat!$I$39,0)+IF(C89=2,I89*Habitat!$J$39,0)+IF(C89=3,I89*Habitat!$K$39,0)+IF(C89=4,I89*Habitat!$L$39,0)+IF(C89=5,I89*Habitat!$M$39,0)</f>
        <v>0</v>
      </c>
    </row>
    <row r="90" spans="1:15">
      <c r="A90">
        <f t="shared" si="18"/>
        <v>79</v>
      </c>
      <c r="C90" s="5">
        <v>3</v>
      </c>
      <c r="D90" s="56">
        <f t="shared" si="19"/>
        <v>1195</v>
      </c>
      <c r="E90" s="48">
        <f t="shared" si="13"/>
        <v>420</v>
      </c>
      <c r="F90" s="3">
        <f>Habitat!$D$22*D90</f>
        <v>14.730817610062893</v>
      </c>
      <c r="G90" s="3">
        <f t="shared" si="17"/>
        <v>0</v>
      </c>
      <c r="H90" s="3">
        <f>IF(D90&lt;$C$7,0,IF(D90&gt;$C$6,0,1))</f>
        <v>0</v>
      </c>
      <c r="I90" s="47">
        <f t="shared" si="16"/>
        <v>0</v>
      </c>
      <c r="J90" s="48">
        <f>IF(C90=1,I90*Habitat!$I$36,0)+IF(C90=2,I90*Habitat!$J$36,0)+IF(C90=3,I90*Habitat!$K$36,0)+IF(C90=4,I90*Habitat!$L$36,0)+IF(C90=5,I90*Habitat!$M$36,0)</f>
        <v>0</v>
      </c>
      <c r="K90" s="48">
        <f>IF(C90=1,I90*Habitat!$I$35,0)+IF(C90=2,I90*Habitat!$J$35,0)+IF(C90=3,I90*Habitat!$K$35,0)+IF(C90=4,I90*Habitat!$L$35,0)+IF(C90=5,I90*Habitat!$M$35,0)</f>
        <v>0</v>
      </c>
      <c r="L90" s="48">
        <f>IF(C90=1,I90*Habitat!$I$34,0)+IF(C90=2,I90*Habitat!$J$34,0)+IF(C90=3,I90*Habitat!$K$34,0)+IF(C90=4,I90*Habitat!$L$34,0)+IF(C90=5,I90*Habitat!$M$34,0)+IF(C90=6,I90*Habitat!$N$34,0)</f>
        <v>0</v>
      </c>
      <c r="M90" s="48">
        <f>IF(C90=1,I90*Habitat!$I$37,0)+IF(C90=2,I90*Habitat!$J$37,0)+IF(C90=3,I90*Habitat!$K$37,0)+IF(C90=4,I90*Habitat!$L$37,0)+IF(C90=5,I90*Habitat!$M$37,0)</f>
        <v>0</v>
      </c>
      <c r="N90" s="48">
        <f>IF(C90=1,I90*Habitat!$I$38,0)+IF(C90=2,I90*Habitat!$J$38,0)+IF(C90=3,I90*Habitat!$K$38,0)+IF(C90=4,I90*Habitat!$L$38,0)+IF(C90=5,I90*Habitat!$M$38,0)*IF(C90=7,I90*Habitat!$O$38,0)</f>
        <v>0</v>
      </c>
      <c r="O90">
        <f>IF(C90=1,I90*Habitat!$I$39,0)+IF(C90=2,I90*Habitat!$J$39,0)+IF(C90=3,I90*Habitat!$K$39,0)+IF(C90=4,I90*Habitat!$L$39,0)+IF(C90=5,I90*Habitat!$M$39,0)</f>
        <v>0</v>
      </c>
    </row>
    <row r="91" spans="1:15">
      <c r="A91">
        <f t="shared" si="18"/>
        <v>80</v>
      </c>
      <c r="C91" s="5">
        <v>3</v>
      </c>
      <c r="D91" s="56">
        <f t="shared" si="19"/>
        <v>1200</v>
      </c>
      <c r="E91" s="48">
        <f t="shared" si="13"/>
        <v>425</v>
      </c>
      <c r="F91" s="3">
        <f>Habitat!$D$22*D91</f>
        <v>14.79245283018868</v>
      </c>
      <c r="G91" s="3">
        <f t="shared" si="17"/>
        <v>0</v>
      </c>
      <c r="H91" s="3">
        <f>IF(D91&lt;$C$7,0,IF(D91&gt;$C$6,0,1))</f>
        <v>0</v>
      </c>
      <c r="I91" s="47">
        <f t="shared" si="16"/>
        <v>0</v>
      </c>
      <c r="J91" s="48">
        <f>IF(C91=1,I91*Habitat!$I$36,0)+IF(C91=2,I91*Habitat!$J$36,0)+IF(C91=3,I91*Habitat!$K$36,0)+IF(C91=4,I91*Habitat!$L$36,0)+IF(C91=5,I91*Habitat!$M$36,0)</f>
        <v>0</v>
      </c>
      <c r="K91" s="48">
        <f>IF(C91=1,I91*Habitat!$I$35,0)+IF(C91=2,I91*Habitat!$J$35,0)+IF(C91=3,I91*Habitat!$K$35,0)+IF(C91=4,I91*Habitat!$L$35,0)+IF(C91=5,I91*Habitat!$M$35,0)</f>
        <v>0</v>
      </c>
      <c r="L91" s="48">
        <f>IF(C91=1,I91*Habitat!$I$34,0)+IF(C91=2,I91*Habitat!$J$34,0)+IF(C91=3,I91*Habitat!$K$34,0)+IF(C91=4,I91*Habitat!$L$34,0)+IF(C91=5,I91*Habitat!$M$34,0)+IF(C91=6,I91*Habitat!$N$34,0)</f>
        <v>0</v>
      </c>
      <c r="M91" s="48">
        <f>IF(C91=1,I91*Habitat!$I$37,0)+IF(C91=2,I91*Habitat!$J$37,0)+IF(C91=3,I91*Habitat!$K$37,0)+IF(C91=4,I91*Habitat!$L$37,0)+IF(C91=5,I91*Habitat!$M$37,0)</f>
        <v>0</v>
      </c>
      <c r="N91" s="48">
        <f>IF(C91=1,I91*Habitat!$I$38,0)+IF(C91=2,I91*Habitat!$J$38,0)+IF(C91=3,I91*Habitat!$K$38,0)+IF(C91=4,I91*Habitat!$L$38,0)+IF(C91=5,I91*Habitat!$M$38,0)*IF(C91=7,I91*Habitat!$O$38,0)</f>
        <v>0</v>
      </c>
      <c r="O91">
        <f>IF(C91=1,I91*Habitat!$I$39,0)+IF(C91=2,I91*Habitat!$J$39,0)+IF(C91=3,I91*Habitat!$K$39,0)+IF(C91=4,I91*Habitat!$L$39,0)+IF(C91=5,I91*Habitat!$M$39,0)</f>
        <v>0</v>
      </c>
    </row>
    <row r="92" spans="1:15">
      <c r="A92">
        <f t="shared" si="18"/>
        <v>81</v>
      </c>
      <c r="C92" s="5">
        <v>3</v>
      </c>
      <c r="D92" s="56">
        <f t="shared" si="19"/>
        <v>1205</v>
      </c>
      <c r="E92" s="48">
        <f t="shared" si="13"/>
        <v>430</v>
      </c>
      <c r="F92" s="3">
        <f>Habitat!$D$22*D92</f>
        <v>14.854088050314466</v>
      </c>
      <c r="G92" s="3">
        <f t="shared" si="17"/>
        <v>0</v>
      </c>
      <c r="H92" s="3">
        <f>IF(D92&lt;$C$7,0,IF(D92&gt;$C$6,0,1))</f>
        <v>0</v>
      </c>
      <c r="I92" s="47">
        <f t="shared" si="16"/>
        <v>0</v>
      </c>
      <c r="J92" s="48">
        <f>IF(C92=1,I92*Habitat!$I$36,0)+IF(C92=2,I92*Habitat!$J$36,0)+IF(C92=3,I92*Habitat!$K$36,0)+IF(C92=4,I92*Habitat!$L$36,0)+IF(C92=5,I92*Habitat!$M$36,0)</f>
        <v>0</v>
      </c>
      <c r="K92" s="48">
        <f>IF(C92=1,I92*Habitat!$I$35,0)+IF(C92=2,I92*Habitat!$J$35,0)+IF(C92=3,I92*Habitat!$K$35,0)+IF(C92=4,I92*Habitat!$L$35,0)+IF(C92=5,I92*Habitat!$M$35,0)</f>
        <v>0</v>
      </c>
      <c r="L92" s="48">
        <f>IF(C92=1,I92*Habitat!$I$34,0)+IF(C92=2,I92*Habitat!$J$34,0)+IF(C92=3,I92*Habitat!$K$34,0)+IF(C92=4,I92*Habitat!$L$34,0)+IF(C92=5,I92*Habitat!$M$34,0)+IF(C92=6,I92*Habitat!$N$34,0)</f>
        <v>0</v>
      </c>
      <c r="M92" s="48">
        <f>IF(C92=1,I92*Habitat!$I$37,0)+IF(C92=2,I92*Habitat!$J$37,0)+IF(C92=3,I92*Habitat!$K$37,0)+IF(C92=4,I92*Habitat!$L$37,0)+IF(C92=5,I92*Habitat!$M$37,0)</f>
        <v>0</v>
      </c>
      <c r="N92" s="48">
        <f>IF(C92=1,I92*Habitat!$I$38,0)+IF(C92=2,I92*Habitat!$J$38,0)+IF(C92=3,I92*Habitat!$K$38,0)+IF(C92=4,I92*Habitat!$L$38,0)+IF(C92=5,I92*Habitat!$M$38,0)*IF(C92=7,I92*Habitat!$O$38,0)</f>
        <v>0</v>
      </c>
      <c r="O92">
        <f>IF(C92=1,I92*Habitat!$I$39,0)+IF(C92=2,I92*Habitat!$J$39,0)+IF(C92=3,I92*Habitat!$K$39,0)+IF(C92=4,I92*Habitat!$L$39,0)+IF(C92=5,I92*Habitat!$M$39,0)</f>
        <v>0</v>
      </c>
    </row>
    <row r="93" spans="1:15">
      <c r="A93">
        <f t="shared" si="18"/>
        <v>82</v>
      </c>
      <c r="C93" s="5">
        <v>3</v>
      </c>
      <c r="D93" s="56">
        <f t="shared" si="19"/>
        <v>1210</v>
      </c>
      <c r="E93" s="48">
        <f t="shared" si="13"/>
        <v>435</v>
      </c>
      <c r="F93" s="3">
        <f>Habitat!$D$22*D93</f>
        <v>14.915723270440251</v>
      </c>
      <c r="G93" s="3">
        <f t="shared" si="17"/>
        <v>0</v>
      </c>
      <c r="H93" s="3">
        <f>IF(D93&lt;$C$7,0,IF(D93&gt;$C$6,0,1))</f>
        <v>0</v>
      </c>
      <c r="I93" s="47">
        <f t="shared" si="16"/>
        <v>0</v>
      </c>
      <c r="J93" s="48">
        <f>IF(C93=1,I93*Habitat!$I$36,0)+IF(C93=2,I93*Habitat!$J$36,0)+IF(C93=3,I93*Habitat!$K$36,0)+IF(C93=4,I93*Habitat!$L$36,0)+IF(C93=5,I93*Habitat!$M$36,0)</f>
        <v>0</v>
      </c>
      <c r="K93" s="48">
        <f>IF(C93=1,I93*Habitat!$I$35,0)+IF(C93=2,I93*Habitat!$J$35,0)+IF(C93=3,I93*Habitat!$K$35,0)+IF(C93=4,I93*Habitat!$L$35,0)+IF(C93=5,I93*Habitat!$M$35,0)</f>
        <v>0</v>
      </c>
      <c r="L93" s="48">
        <f>IF(C93=1,I93*Habitat!$I$34,0)+IF(C93=2,I93*Habitat!$J$34,0)+IF(C93=3,I93*Habitat!$K$34,0)+IF(C93=4,I93*Habitat!$L$34,0)+IF(C93=5,I93*Habitat!$M$34,0)+IF(C93=6,I93*Habitat!$N$34,0)</f>
        <v>0</v>
      </c>
      <c r="M93" s="48">
        <f>IF(C93=1,I93*Habitat!$I$37,0)+IF(C93=2,I93*Habitat!$J$37,0)+IF(C93=3,I93*Habitat!$K$37,0)+IF(C93=4,I93*Habitat!$L$37,0)+IF(C93=5,I93*Habitat!$M$37,0)</f>
        <v>0</v>
      </c>
      <c r="N93" s="48">
        <f>IF(C93=1,I93*Habitat!$I$38,0)+IF(C93=2,I93*Habitat!$J$38,0)+IF(C93=3,I93*Habitat!$K$38,0)+IF(C93=4,I93*Habitat!$L$38,0)+IF(C93=5,I93*Habitat!$M$38,0)*IF(C93=7,I93*Habitat!$O$38,0)</f>
        <v>0</v>
      </c>
      <c r="O93">
        <f>IF(C93=1,I93*Habitat!$I$39,0)+IF(C93=2,I93*Habitat!$J$39,0)+IF(C93=3,I93*Habitat!$K$39,0)+IF(C93=4,I93*Habitat!$L$39,0)+IF(C93=5,I93*Habitat!$M$39,0)</f>
        <v>0</v>
      </c>
    </row>
    <row r="94" spans="1:15">
      <c r="A94">
        <f t="shared" si="18"/>
        <v>83</v>
      </c>
      <c r="C94" s="5">
        <v>3</v>
      </c>
      <c r="D94" s="56">
        <f t="shared" si="19"/>
        <v>1215</v>
      </c>
      <c r="E94" s="48">
        <f t="shared" si="13"/>
        <v>440</v>
      </c>
      <c r="F94" s="3">
        <f>Habitat!$D$22*D94</f>
        <v>14.977358490566038</v>
      </c>
      <c r="G94" s="3">
        <f t="shared" si="17"/>
        <v>0</v>
      </c>
      <c r="H94" s="3">
        <f>IF(D94&lt;$C$7,0,IF(D94&gt;$C$6,0,1))</f>
        <v>0</v>
      </c>
      <c r="I94" s="47">
        <f t="shared" si="16"/>
        <v>0</v>
      </c>
      <c r="J94" s="48">
        <f>IF(C94=1,I94*Habitat!$I$36,0)+IF(C94=2,I94*Habitat!$J$36,0)+IF(C94=3,I94*Habitat!$K$36,0)+IF(C94=4,I94*Habitat!$L$36,0)+IF(C94=5,I94*Habitat!$M$36,0)</f>
        <v>0</v>
      </c>
      <c r="K94" s="48">
        <f>IF(C94=1,I94*Habitat!$I$35,0)+IF(C94=2,I94*Habitat!$J$35,0)+IF(C94=3,I94*Habitat!$K$35,0)+IF(C94=4,I94*Habitat!$L$35,0)+IF(C94=5,I94*Habitat!$M$35,0)</f>
        <v>0</v>
      </c>
      <c r="L94" s="48">
        <f>IF(C94=1,I94*Habitat!$I$34,0)+IF(C94=2,I94*Habitat!$J$34,0)+IF(C94=3,I94*Habitat!$K$34,0)+IF(C94=4,I94*Habitat!$L$34,0)+IF(C94=5,I94*Habitat!$M$34,0)+IF(C94=6,I94*Habitat!$N$34,0)</f>
        <v>0</v>
      </c>
      <c r="M94" s="48">
        <f>IF(C94=1,I94*Habitat!$I$37,0)+IF(C94=2,I94*Habitat!$J$37,0)+IF(C94=3,I94*Habitat!$K$37,0)+IF(C94=4,I94*Habitat!$L$37,0)+IF(C94=5,I94*Habitat!$M$37,0)</f>
        <v>0</v>
      </c>
      <c r="N94" s="48">
        <f>IF(C94=1,I94*Habitat!$I$38,0)+IF(C94=2,I94*Habitat!$J$38,0)+IF(C94=3,I94*Habitat!$K$38,0)+IF(C94=4,I94*Habitat!$L$38,0)+IF(C94=5,I94*Habitat!$M$38,0)*IF(C94=7,I94*Habitat!$O$38,0)</f>
        <v>0</v>
      </c>
      <c r="O94">
        <f>IF(C94=1,I94*Habitat!$I$39,0)+IF(C94=2,I94*Habitat!$J$39,0)+IF(C94=3,I94*Habitat!$K$39,0)+IF(C94=4,I94*Habitat!$L$39,0)+IF(C94=5,I94*Habitat!$M$39,0)</f>
        <v>0</v>
      </c>
    </row>
    <row r="95" spans="1:15">
      <c r="A95">
        <f t="shared" si="18"/>
        <v>84</v>
      </c>
      <c r="C95" s="5">
        <v>3</v>
      </c>
      <c r="D95" s="56">
        <f t="shared" si="19"/>
        <v>1220</v>
      </c>
      <c r="E95" s="48">
        <f t="shared" si="13"/>
        <v>445</v>
      </c>
      <c r="F95" s="3">
        <f>Habitat!$D$22*D95</f>
        <v>15.038993710691823</v>
      </c>
      <c r="G95" s="3">
        <f t="shared" si="17"/>
        <v>0</v>
      </c>
      <c r="H95" s="3">
        <f>IF(D95&lt;$C$7,0,IF(D95&gt;$C$6,0,1))</f>
        <v>0</v>
      </c>
      <c r="I95" s="47">
        <f t="shared" si="16"/>
        <v>0</v>
      </c>
      <c r="J95" s="48">
        <f>IF(C95=1,I95*Habitat!$I$36,0)+IF(C95=2,I95*Habitat!$J$36,0)+IF(C95=3,I95*Habitat!$K$36,0)+IF(C95=4,I95*Habitat!$L$36,0)+IF(C95=5,I95*Habitat!$M$36,0)</f>
        <v>0</v>
      </c>
      <c r="K95" s="48">
        <f>IF(C95=1,I95*Habitat!$I$35,0)+IF(C95=2,I95*Habitat!$J$35,0)+IF(C95=3,I95*Habitat!$K$35,0)+IF(C95=4,I95*Habitat!$L$35,0)+IF(C95=5,I95*Habitat!$M$35,0)</f>
        <v>0</v>
      </c>
      <c r="L95" s="48">
        <f>IF(C95=1,I95*Habitat!$I$34,0)+IF(C95=2,I95*Habitat!$J$34,0)+IF(C95=3,I95*Habitat!$K$34,0)+IF(C95=4,I95*Habitat!$L$34,0)+IF(C95=5,I95*Habitat!$M$34,0)+IF(C95=6,I95*Habitat!$N$34,0)</f>
        <v>0</v>
      </c>
      <c r="M95" s="48">
        <f>IF(C95=1,I95*Habitat!$I$37,0)+IF(C95=2,I95*Habitat!$J$37,0)+IF(C95=3,I95*Habitat!$K$37,0)+IF(C95=4,I95*Habitat!$L$37,0)+IF(C95=5,I95*Habitat!$M$37,0)</f>
        <v>0</v>
      </c>
      <c r="N95" s="48">
        <f>IF(C95=1,I95*Habitat!$I$38,0)+IF(C95=2,I95*Habitat!$J$38,0)+IF(C95=3,I95*Habitat!$K$38,0)+IF(C95=4,I95*Habitat!$L$38,0)+IF(C95=5,I95*Habitat!$M$38,0)*IF(C95=7,I95*Habitat!$O$38,0)</f>
        <v>0</v>
      </c>
      <c r="O95">
        <f>IF(C95=1,I95*Habitat!$I$39,0)+IF(C95=2,I95*Habitat!$J$39,0)+IF(C95=3,I95*Habitat!$K$39,0)+IF(C95=4,I95*Habitat!$L$39,0)+IF(C95=5,I95*Habitat!$M$39,0)</f>
        <v>0</v>
      </c>
    </row>
    <row r="96" spans="1:15">
      <c r="A96">
        <f t="shared" si="18"/>
        <v>85</v>
      </c>
      <c r="C96" s="5">
        <v>3</v>
      </c>
      <c r="D96" s="56">
        <f t="shared" si="19"/>
        <v>1225</v>
      </c>
      <c r="E96" s="48">
        <f t="shared" si="13"/>
        <v>450</v>
      </c>
      <c r="F96" s="3">
        <f>Habitat!$D$22*D96</f>
        <v>15.10062893081761</v>
      </c>
      <c r="G96" s="3">
        <f t="shared" si="17"/>
        <v>0</v>
      </c>
      <c r="H96" s="3">
        <f>IF(D96&lt;$C$7,0,IF(D96&gt;$C$6,0,1))</f>
        <v>0</v>
      </c>
      <c r="I96" s="47">
        <f t="shared" si="16"/>
        <v>0</v>
      </c>
      <c r="J96" s="48">
        <f>IF(C96=1,I96*Habitat!$I$36,0)+IF(C96=2,I96*Habitat!$J$36,0)+IF(C96=3,I96*Habitat!$K$36,0)+IF(C96=4,I96*Habitat!$L$36,0)+IF(C96=5,I96*Habitat!$M$36,0)</f>
        <v>0</v>
      </c>
      <c r="K96" s="48">
        <f>IF(C96=1,I96*Habitat!$I$35,0)+IF(C96=2,I96*Habitat!$J$35,0)+IF(C96=3,I96*Habitat!$K$35,0)+IF(C96=4,I96*Habitat!$L$35,0)+IF(C96=5,I96*Habitat!$M$35,0)</f>
        <v>0</v>
      </c>
      <c r="L96" s="48">
        <f>IF(C96=1,I96*Habitat!$I$34,0)+IF(C96=2,I96*Habitat!$J$34,0)+IF(C96=3,I96*Habitat!$K$34,0)+IF(C96=4,I96*Habitat!$L$34,0)+IF(C96=5,I96*Habitat!$M$34,0)+IF(C96=6,I96*Habitat!$N$34,0)</f>
        <v>0</v>
      </c>
      <c r="M96" s="48">
        <f>IF(C96=1,I96*Habitat!$I$37,0)+IF(C96=2,I96*Habitat!$J$37,0)+IF(C96=3,I96*Habitat!$K$37,0)+IF(C96=4,I96*Habitat!$L$37,0)+IF(C96=5,I96*Habitat!$M$37,0)</f>
        <v>0</v>
      </c>
      <c r="N96" s="48">
        <f>IF(C96=1,I96*Habitat!$I$38,0)+IF(C96=2,I96*Habitat!$J$38,0)+IF(C96=3,I96*Habitat!$K$38,0)+IF(C96=4,I96*Habitat!$L$38,0)+IF(C96=5,I96*Habitat!$M$38,0)*IF(C96=7,I96*Habitat!$O$38,0)</f>
        <v>0</v>
      </c>
      <c r="O96">
        <f>IF(C96=1,I96*Habitat!$I$39,0)+IF(C96=2,I96*Habitat!$J$39,0)+IF(C96=3,I96*Habitat!$K$39,0)+IF(C96=4,I96*Habitat!$L$39,0)+IF(C96=5,I96*Habitat!$M$39,0)</f>
        <v>0</v>
      </c>
    </row>
    <row r="97" spans="1:15">
      <c r="A97">
        <f t="shared" si="18"/>
        <v>86</v>
      </c>
      <c r="C97" s="5">
        <v>3</v>
      </c>
      <c r="D97" s="56">
        <f t="shared" si="19"/>
        <v>1230</v>
      </c>
      <c r="E97" s="48">
        <f t="shared" si="13"/>
        <v>455</v>
      </c>
      <c r="F97" s="3">
        <f>Habitat!$D$22*D97</f>
        <v>15.162264150943397</v>
      </c>
      <c r="G97" s="3">
        <f t="shared" si="17"/>
        <v>0</v>
      </c>
      <c r="H97" s="3">
        <f>IF(D97&lt;$C$7,0,IF(D97&gt;$C$6,0,1))</f>
        <v>0</v>
      </c>
      <c r="I97" s="47">
        <f t="shared" si="16"/>
        <v>0</v>
      </c>
      <c r="J97" s="48">
        <f>IF(C97=1,I97*Habitat!$I$36,0)+IF(C97=2,I97*Habitat!$J$36,0)+IF(C97=3,I97*Habitat!$K$36,0)+IF(C97=4,I97*Habitat!$L$36,0)+IF(C97=5,I97*Habitat!$M$36,0)</f>
        <v>0</v>
      </c>
      <c r="K97" s="48">
        <f>IF(C97=1,I97*Habitat!$I$35,0)+IF(C97=2,I97*Habitat!$J$35,0)+IF(C97=3,I97*Habitat!$K$35,0)+IF(C97=4,I97*Habitat!$L$35,0)+IF(C97=5,I97*Habitat!$M$35,0)</f>
        <v>0</v>
      </c>
      <c r="L97" s="48">
        <f>IF(C97=1,I97*Habitat!$I$34,0)+IF(C97=2,I97*Habitat!$J$34,0)+IF(C97=3,I97*Habitat!$K$34,0)+IF(C97=4,I97*Habitat!$L$34,0)+IF(C97=5,I97*Habitat!$M$34,0)+IF(C97=6,I97*Habitat!$N$34,0)</f>
        <v>0</v>
      </c>
      <c r="M97" s="48">
        <f>IF(C97=1,I97*Habitat!$I$37,0)+IF(C97=2,I97*Habitat!$J$37,0)+IF(C97=3,I97*Habitat!$K$37,0)+IF(C97=4,I97*Habitat!$L$37,0)+IF(C97=5,I97*Habitat!$M$37,0)</f>
        <v>0</v>
      </c>
      <c r="N97" s="48">
        <f>IF(C97=1,I97*Habitat!$I$38,0)+IF(C97=2,I97*Habitat!$J$38,0)+IF(C97=3,I97*Habitat!$K$38,0)+IF(C97=4,I97*Habitat!$L$38,0)+IF(C97=5,I97*Habitat!$M$38,0)*IF(C97=7,I97*Habitat!$O$38,0)</f>
        <v>0</v>
      </c>
      <c r="O97">
        <f>IF(C97=1,I97*Habitat!$I$39,0)+IF(C97=2,I97*Habitat!$J$39,0)+IF(C97=3,I97*Habitat!$K$39,0)+IF(C97=4,I97*Habitat!$L$39,0)+IF(C97=5,I97*Habitat!$M$39,0)</f>
        <v>0</v>
      </c>
    </row>
    <row r="98" spans="1:15">
      <c r="A98">
        <f t="shared" si="18"/>
        <v>87</v>
      </c>
      <c r="C98" s="5">
        <v>3</v>
      </c>
      <c r="D98" s="56">
        <f t="shared" si="19"/>
        <v>1235</v>
      </c>
      <c r="E98" s="48">
        <f t="shared" si="13"/>
        <v>460</v>
      </c>
      <c r="F98" s="3">
        <f>Habitat!$D$22*D98</f>
        <v>15.223899371069182</v>
      </c>
      <c r="G98" s="3">
        <f t="shared" si="17"/>
        <v>0</v>
      </c>
      <c r="H98" s="3">
        <f>IF(D98&lt;$C$7,0,IF(D98&gt;$C$6,0,1))</f>
        <v>0</v>
      </c>
      <c r="I98" s="47">
        <f t="shared" si="16"/>
        <v>0</v>
      </c>
      <c r="J98" s="48">
        <f>IF(C98=1,I98*Habitat!$I$36,0)+IF(C98=2,I98*Habitat!$J$36,0)+IF(C98=3,I98*Habitat!$K$36,0)+IF(C98=4,I98*Habitat!$L$36,0)+IF(C98=5,I98*Habitat!$M$36,0)</f>
        <v>0</v>
      </c>
      <c r="K98" s="48">
        <f>IF(C98=1,I98*Habitat!$I$35,0)+IF(C98=2,I98*Habitat!$J$35,0)+IF(C98=3,I98*Habitat!$K$35,0)+IF(C98=4,I98*Habitat!$L$35,0)+IF(C98=5,I98*Habitat!$M$35,0)</f>
        <v>0</v>
      </c>
      <c r="L98" s="48">
        <f>IF(C98=1,I98*Habitat!$I$34,0)+IF(C98=2,I98*Habitat!$J$34,0)+IF(C98=3,I98*Habitat!$K$34,0)+IF(C98=4,I98*Habitat!$L$34,0)+IF(C98=5,I98*Habitat!$M$34,0)+IF(C98=6,I98*Habitat!$N$34,0)</f>
        <v>0</v>
      </c>
      <c r="M98" s="48">
        <f>IF(C98=1,I98*Habitat!$I$37,0)+IF(C98=2,I98*Habitat!$J$37,0)+IF(C98=3,I98*Habitat!$K$37,0)+IF(C98=4,I98*Habitat!$L$37,0)+IF(C98=5,I98*Habitat!$M$37,0)</f>
        <v>0</v>
      </c>
      <c r="N98" s="48">
        <f>IF(C98=1,I98*Habitat!$I$38,0)+IF(C98=2,I98*Habitat!$J$38,0)+IF(C98=3,I98*Habitat!$K$38,0)+IF(C98=4,I98*Habitat!$L$38,0)+IF(C98=5,I98*Habitat!$M$38,0)*IF(C98=7,I98*Habitat!$O$38,0)</f>
        <v>0</v>
      </c>
      <c r="O98">
        <f>IF(C98=1,I98*Habitat!$I$39,0)+IF(C98=2,I98*Habitat!$J$39,0)+IF(C98=3,I98*Habitat!$K$39,0)+IF(C98=4,I98*Habitat!$L$39,0)+IF(C98=5,I98*Habitat!$M$39,0)</f>
        <v>0</v>
      </c>
    </row>
    <row r="99" spans="1:15">
      <c r="A99">
        <f t="shared" si="18"/>
        <v>88</v>
      </c>
      <c r="C99" s="5">
        <v>3</v>
      </c>
      <c r="D99" s="56">
        <f t="shared" si="19"/>
        <v>1240</v>
      </c>
      <c r="E99" s="48">
        <f t="shared" si="13"/>
        <v>465</v>
      </c>
      <c r="F99" s="3">
        <f>Habitat!$D$22*D99</f>
        <v>15.285534591194969</v>
      </c>
      <c r="G99" s="3">
        <f t="shared" si="17"/>
        <v>0</v>
      </c>
      <c r="H99" s="3">
        <f>IF(D99&lt;$C$7,0,IF(D99&gt;$C$6,0,1))</f>
        <v>0</v>
      </c>
      <c r="I99" s="47">
        <f t="shared" si="16"/>
        <v>0</v>
      </c>
      <c r="J99" s="48">
        <f>IF(C99=1,I99*Habitat!$I$36,0)+IF(C99=2,I99*Habitat!$J$36,0)+IF(C99=3,I99*Habitat!$K$36,0)+IF(C99=4,I99*Habitat!$L$36,0)+IF(C99=5,I99*Habitat!$M$36,0)</f>
        <v>0</v>
      </c>
      <c r="K99" s="48">
        <f>IF(C99=1,I99*Habitat!$I$35,0)+IF(C99=2,I99*Habitat!$J$35,0)+IF(C99=3,I99*Habitat!$K$35,0)+IF(C99=4,I99*Habitat!$L$35,0)+IF(C99=5,I99*Habitat!$M$35,0)</f>
        <v>0</v>
      </c>
      <c r="L99" s="48">
        <f>IF(C99=1,I99*Habitat!$I$34,0)+IF(C99=2,I99*Habitat!$J$34,0)+IF(C99=3,I99*Habitat!$K$34,0)+IF(C99=4,I99*Habitat!$L$34,0)+IF(C99=5,I99*Habitat!$M$34,0)+IF(C99=6,I99*Habitat!$N$34,0)</f>
        <v>0</v>
      </c>
      <c r="M99" s="48">
        <f>IF(C99=1,I99*Habitat!$I$37,0)+IF(C99=2,I99*Habitat!$J$37,0)+IF(C99=3,I99*Habitat!$K$37,0)+IF(C99=4,I99*Habitat!$L$37,0)+IF(C99=5,I99*Habitat!$M$37,0)</f>
        <v>0</v>
      </c>
      <c r="N99" s="48">
        <f>IF(C99=1,I99*Habitat!$I$38,0)+IF(C99=2,I99*Habitat!$J$38,0)+IF(C99=3,I99*Habitat!$K$38,0)+IF(C99=4,I99*Habitat!$L$38,0)+IF(C99=5,I99*Habitat!$M$38,0)*IF(C99=7,I99*Habitat!$O$38,0)</f>
        <v>0</v>
      </c>
      <c r="O99">
        <f>IF(C99=1,I99*Habitat!$I$39,0)+IF(C99=2,I99*Habitat!$J$39,0)+IF(C99=3,I99*Habitat!$K$39,0)+IF(C99=4,I99*Habitat!$L$39,0)+IF(C99=5,I99*Habitat!$M$39,0)</f>
        <v>0</v>
      </c>
    </row>
    <row r="100" spans="1:15">
      <c r="A100">
        <f t="shared" si="18"/>
        <v>89</v>
      </c>
      <c r="C100" s="5">
        <v>3</v>
      </c>
      <c r="D100" s="56">
        <f t="shared" si="19"/>
        <v>1245</v>
      </c>
      <c r="E100" s="48">
        <f t="shared" si="13"/>
        <v>470</v>
      </c>
      <c r="F100" s="3">
        <f>Habitat!$D$22*D100</f>
        <v>15.347169811320756</v>
      </c>
      <c r="G100" s="3">
        <f t="shared" si="17"/>
        <v>0</v>
      </c>
      <c r="H100" s="3">
        <f>IF(D100&lt;$C$7,0,IF(D100&gt;$C$6,0,1))</f>
        <v>0</v>
      </c>
      <c r="I100" s="47">
        <f t="shared" si="16"/>
        <v>0</v>
      </c>
      <c r="J100" s="48">
        <f>IF(C100=1,I100*Habitat!$I$36,0)+IF(C100=2,I100*Habitat!$J$36,0)+IF(C100=3,I100*Habitat!$K$36,0)+IF(C100=4,I100*Habitat!$L$36,0)+IF(C100=5,I100*Habitat!$M$36,0)</f>
        <v>0</v>
      </c>
      <c r="K100" s="48">
        <f>IF(C100=1,I100*Habitat!$I$35,0)+IF(C100=2,I100*Habitat!$J$35,0)+IF(C100=3,I100*Habitat!$K$35,0)+IF(C100=4,I100*Habitat!$L$35,0)+IF(C100=5,I100*Habitat!$M$35,0)</f>
        <v>0</v>
      </c>
      <c r="L100" s="48">
        <f>IF(C100=1,I100*Habitat!$I$34,0)+IF(C100=2,I100*Habitat!$J$34,0)+IF(C100=3,I100*Habitat!$K$34,0)+IF(C100=4,I100*Habitat!$L$34,0)+IF(C100=5,I100*Habitat!$M$34,0)+IF(C100=6,I100*Habitat!$N$34,0)</f>
        <v>0</v>
      </c>
      <c r="M100" s="48">
        <f>IF(C100=1,I100*Habitat!$I$37,0)+IF(C100=2,I100*Habitat!$J$37,0)+IF(C100=3,I100*Habitat!$K$37,0)+IF(C100=4,I100*Habitat!$L$37,0)+IF(C100=5,I100*Habitat!$M$37,0)</f>
        <v>0</v>
      </c>
      <c r="N100" s="48">
        <f>IF(C100=1,I100*Habitat!$I$38,0)+IF(C100=2,I100*Habitat!$J$38,0)+IF(C100=3,I100*Habitat!$K$38,0)+IF(C100=4,I100*Habitat!$L$38,0)+IF(C100=5,I100*Habitat!$M$38,0)*IF(C100=7,I100*Habitat!$O$38,0)</f>
        <v>0</v>
      </c>
      <c r="O100">
        <f>IF(C100=1,I100*Habitat!$I$39,0)+IF(C100=2,I100*Habitat!$J$39,0)+IF(C100=3,I100*Habitat!$K$39,0)+IF(C100=4,I100*Habitat!$L$39,0)+IF(C100=5,I100*Habitat!$M$39,0)</f>
        <v>0</v>
      </c>
    </row>
    <row r="101" spans="1:15">
      <c r="A101">
        <f t="shared" ref="A101:A115" si="20">A100+1</f>
        <v>90</v>
      </c>
      <c r="C101" s="5">
        <v>3</v>
      </c>
      <c r="D101" s="56">
        <f t="shared" si="19"/>
        <v>1250</v>
      </c>
      <c r="E101" s="48">
        <f t="shared" si="13"/>
        <v>475</v>
      </c>
      <c r="F101" s="3">
        <f>Habitat!$D$22*D101</f>
        <v>15.408805031446541</v>
      </c>
      <c r="G101" s="3">
        <f t="shared" si="17"/>
        <v>0</v>
      </c>
      <c r="H101" s="3">
        <f>IF(D101&lt;$C$7,0,IF(D101&gt;$C$6,0,1))</f>
        <v>0</v>
      </c>
      <c r="I101" s="47">
        <f t="shared" si="16"/>
        <v>0</v>
      </c>
      <c r="J101" s="48">
        <f>IF(C101=1,I101*Habitat!$I$36,0)+IF(C101=2,I101*Habitat!$J$36,0)+IF(C101=3,I101*Habitat!$K$36,0)+IF(C101=4,I101*Habitat!$L$36,0)+IF(C101=5,I101*Habitat!$M$36,0)</f>
        <v>0</v>
      </c>
      <c r="K101" s="48">
        <f>IF(C101=1,I101*Habitat!$I$35,0)+IF(C101=2,I101*Habitat!$J$35,0)+IF(C101=3,I101*Habitat!$K$35,0)+IF(C101=4,I101*Habitat!$L$35,0)+IF(C101=5,I101*Habitat!$M$35,0)</f>
        <v>0</v>
      </c>
      <c r="L101" s="48">
        <f>IF(C101=1,I101*Habitat!$I$34,0)+IF(C101=2,I101*Habitat!$J$34,0)+IF(C101=3,I101*Habitat!$K$34,0)+IF(C101=4,I101*Habitat!$L$34,0)+IF(C101=5,I101*Habitat!$M$34,0)+IF(C101=6,I101*Habitat!$N$34,0)</f>
        <v>0</v>
      </c>
      <c r="M101" s="48">
        <f>IF(C101=1,I101*Habitat!$I$37,0)+IF(C101=2,I101*Habitat!$J$37,0)+IF(C101=3,I101*Habitat!$K$37,0)+IF(C101=4,I101*Habitat!$L$37,0)+IF(C101=5,I101*Habitat!$M$37,0)</f>
        <v>0</v>
      </c>
      <c r="N101" s="48">
        <f>IF(C101=1,I101*Habitat!$I$38,0)+IF(C101=2,I101*Habitat!$J$38,0)+IF(C101=3,I101*Habitat!$K$38,0)+IF(C101=4,I101*Habitat!$L$38,0)+IF(C101=5,I101*Habitat!$M$38,0)*IF(C101=7,I101*Habitat!$O$38,0)</f>
        <v>0</v>
      </c>
      <c r="O101">
        <f>IF(C101=1,I101*Habitat!$I$39,0)+IF(C101=2,I101*Habitat!$J$39,0)+IF(C101=3,I101*Habitat!$K$39,0)+IF(C101=4,I101*Habitat!$L$39,0)+IF(C101=5,I101*Habitat!$M$39,0)</f>
        <v>0</v>
      </c>
    </row>
    <row r="102" spans="1:15">
      <c r="A102">
        <f t="shared" si="20"/>
        <v>91</v>
      </c>
      <c r="C102" s="5">
        <v>3</v>
      </c>
      <c r="D102" s="56">
        <f t="shared" si="19"/>
        <v>1255</v>
      </c>
      <c r="E102" s="48">
        <f t="shared" si="13"/>
        <v>480</v>
      </c>
      <c r="F102" s="3">
        <f>Habitat!$D$22*D102</f>
        <v>15.470440251572327</v>
      </c>
      <c r="G102" s="3">
        <f t="shared" si="17"/>
        <v>0</v>
      </c>
      <c r="H102" s="3">
        <f>IF(D102&lt;$C$7,0,IF(D102&gt;$C$6,0,1))</f>
        <v>0</v>
      </c>
      <c r="I102" s="47">
        <f t="shared" si="16"/>
        <v>0</v>
      </c>
      <c r="J102" s="48">
        <f>IF(C102=1,I102*Habitat!$I$36,0)+IF(C102=2,I102*Habitat!$J$36,0)+IF(C102=3,I102*Habitat!$K$36,0)+IF(C102=4,I102*Habitat!$L$36,0)+IF(C102=5,I102*Habitat!$M$36,0)</f>
        <v>0</v>
      </c>
      <c r="K102" s="48">
        <f>IF(C102=1,I102*Habitat!$I$35,0)+IF(C102=2,I102*Habitat!$J$35,0)+IF(C102=3,I102*Habitat!$K$35,0)+IF(C102=4,I102*Habitat!$L$35,0)+IF(C102=5,I102*Habitat!$M$35,0)</f>
        <v>0</v>
      </c>
      <c r="L102" s="48">
        <f>IF(C102=1,I102*Habitat!$I$34,0)+IF(C102=2,I102*Habitat!$J$34,0)+IF(C102=3,I102*Habitat!$K$34,0)+IF(C102=4,I102*Habitat!$L$34,0)+IF(C102=5,I102*Habitat!$M$34,0)+IF(C102=6,I102*Habitat!$N$34,0)</f>
        <v>0</v>
      </c>
      <c r="M102" s="48">
        <f>IF(C102=1,I102*Habitat!$I$37,0)+IF(C102=2,I102*Habitat!$J$37,0)+IF(C102=3,I102*Habitat!$K$37,0)+IF(C102=4,I102*Habitat!$L$37,0)+IF(C102=5,I102*Habitat!$M$37,0)</f>
        <v>0</v>
      </c>
      <c r="N102" s="48">
        <f>IF(C102=1,I102*Habitat!$I$38,0)+IF(C102=2,I102*Habitat!$J$38,0)+IF(C102=3,I102*Habitat!$K$38,0)+IF(C102=4,I102*Habitat!$L$38,0)+IF(C102=5,I102*Habitat!$M$38,0)*IF(C102=7,I102*Habitat!$O$38,0)</f>
        <v>0</v>
      </c>
      <c r="O102">
        <f>IF(C102=1,I102*Habitat!$I$39,0)+IF(C102=2,I102*Habitat!$J$39,0)+IF(C102=3,I102*Habitat!$K$39,0)+IF(C102=4,I102*Habitat!$L$39,0)+IF(C102=5,I102*Habitat!$M$39,0)</f>
        <v>0</v>
      </c>
    </row>
    <row r="103" spans="1:15">
      <c r="A103">
        <f t="shared" si="20"/>
        <v>92</v>
      </c>
      <c r="C103" s="5">
        <v>3</v>
      </c>
      <c r="D103" s="56">
        <f t="shared" si="19"/>
        <v>1260</v>
      </c>
      <c r="E103" s="48">
        <f t="shared" si="13"/>
        <v>485</v>
      </c>
      <c r="F103" s="3">
        <f>Habitat!$D$22*D103</f>
        <v>15.532075471698112</v>
      </c>
      <c r="G103" s="3">
        <f t="shared" si="17"/>
        <v>0</v>
      </c>
      <c r="H103" s="3">
        <f>IF(D103&lt;$C$7,0,IF(D103&gt;$C$6,0,1))</f>
        <v>0</v>
      </c>
      <c r="I103" s="47">
        <f t="shared" si="16"/>
        <v>0</v>
      </c>
      <c r="J103" s="48">
        <f>IF(C103=1,I103*Habitat!$I$36,0)+IF(C103=2,I103*Habitat!$J$36,0)+IF(C103=3,I103*Habitat!$K$36,0)+IF(C103=4,I103*Habitat!$L$36,0)+IF(C103=5,I103*Habitat!$M$36,0)</f>
        <v>0</v>
      </c>
      <c r="K103" s="48">
        <f>IF(C103=1,I103*Habitat!$I$35,0)+IF(C103=2,I103*Habitat!$J$35,0)+IF(C103=3,I103*Habitat!$K$35,0)+IF(C103=4,I103*Habitat!$L$35,0)+IF(C103=5,I103*Habitat!$M$35,0)</f>
        <v>0</v>
      </c>
      <c r="L103" s="48">
        <f>IF(C103=1,I103*Habitat!$I$34,0)+IF(C103=2,I103*Habitat!$J$34,0)+IF(C103=3,I103*Habitat!$K$34,0)+IF(C103=4,I103*Habitat!$L$34,0)+IF(C103=5,I103*Habitat!$M$34,0)+IF(C103=6,I103*Habitat!$N$34,0)</f>
        <v>0</v>
      </c>
      <c r="M103" s="48">
        <f>IF(C103=1,I103*Habitat!$I$37,0)+IF(C103=2,I103*Habitat!$J$37,0)+IF(C103=3,I103*Habitat!$K$37,0)+IF(C103=4,I103*Habitat!$L$37,0)+IF(C103=5,I103*Habitat!$M$37,0)</f>
        <v>0</v>
      </c>
      <c r="N103" s="48">
        <f>IF(C103=1,I103*Habitat!$I$38,0)+IF(C103=2,I103*Habitat!$J$38,0)+IF(C103=3,I103*Habitat!$K$38,0)+IF(C103=4,I103*Habitat!$L$38,0)+IF(C103=5,I103*Habitat!$M$38,0)*IF(C103=7,I103*Habitat!$O$38,0)</f>
        <v>0</v>
      </c>
      <c r="O103">
        <f>IF(C103=1,I103*Habitat!$I$39,0)+IF(C103=2,I103*Habitat!$J$39,0)+IF(C103=3,I103*Habitat!$K$39,0)+IF(C103=4,I103*Habitat!$L$39,0)+IF(C103=5,I103*Habitat!$M$39,0)</f>
        <v>0</v>
      </c>
    </row>
    <row r="104" spans="1:15">
      <c r="A104">
        <f t="shared" si="20"/>
        <v>93</v>
      </c>
      <c r="C104" s="5">
        <v>3</v>
      </c>
      <c r="D104" s="56">
        <f t="shared" si="19"/>
        <v>1265</v>
      </c>
      <c r="E104" s="48">
        <f t="shared" si="13"/>
        <v>490</v>
      </c>
      <c r="F104" s="3">
        <f>Habitat!$D$22*D104</f>
        <v>15.593710691823899</v>
      </c>
      <c r="G104" s="3">
        <f t="shared" si="17"/>
        <v>0</v>
      </c>
      <c r="H104" s="3">
        <f>IF(D104&lt;$C$7,0,IF(D104&gt;$C$6,0,1))</f>
        <v>0</v>
      </c>
      <c r="I104" s="47">
        <f t="shared" si="16"/>
        <v>0</v>
      </c>
      <c r="J104" s="48">
        <f>IF(C104=1,I104*Habitat!$I$36,0)+IF(C104=2,I104*Habitat!$J$36,0)+IF(C104=3,I104*Habitat!$K$36,0)+IF(C104=4,I104*Habitat!$L$36,0)+IF(C104=5,I104*Habitat!$M$36,0)</f>
        <v>0</v>
      </c>
      <c r="K104" s="48">
        <f>IF(C104=1,I104*Habitat!$I$35,0)+IF(C104=2,I104*Habitat!$J$35,0)+IF(C104=3,I104*Habitat!$K$35,0)+IF(C104=4,I104*Habitat!$L$35,0)+IF(C104=5,I104*Habitat!$M$35,0)</f>
        <v>0</v>
      </c>
      <c r="L104" s="48">
        <f>IF(C104=1,I104*Habitat!$I$34,0)+IF(C104=2,I104*Habitat!$J$34,0)+IF(C104=3,I104*Habitat!$K$34,0)+IF(C104=4,I104*Habitat!$L$34,0)+IF(C104=5,I104*Habitat!$M$34,0)</f>
        <v>0</v>
      </c>
      <c r="M104" s="48">
        <f>IF(C104=1,I104*Habitat!$I$37,0)+IF(C104=2,I104*Habitat!$J$37,0)+IF(C104=3,I104*Habitat!$K$37,0)+IF(C104=4,I104*Habitat!$L$37,0)+IF(C104=5,I104*Habitat!$M$37,0)</f>
        <v>0</v>
      </c>
      <c r="N104" s="48">
        <f>IF(C104=1,I104*Habitat!$I$38,0)+IF(C104=2,I104*Habitat!$J$38,0)+IF(C104=3,I104*Habitat!$K$38,0)+IF(C104=4,I104*Habitat!$L$38,0)+IF(C104=5,I104*Habitat!$M$38,0)*IF(C104=7,I104*Habitat!$O$38,0)</f>
        <v>0</v>
      </c>
      <c r="O104">
        <f>IF(C104=1,I104*Habitat!$I$39,0)+IF(C104=2,I104*Habitat!$J$39,0)+IF(C104=3,I104*Habitat!$K$39,0)+IF(C104=4,I104*Habitat!$L$39,0)+IF(C104=5,I104*Habitat!$M$39,0)</f>
        <v>0</v>
      </c>
    </row>
    <row r="105" spans="1:15">
      <c r="A105">
        <f t="shared" si="20"/>
        <v>94</v>
      </c>
      <c r="C105" s="5">
        <v>3</v>
      </c>
      <c r="D105" s="56">
        <f t="shared" si="19"/>
        <v>1270</v>
      </c>
      <c r="E105" s="48">
        <f t="shared" si="13"/>
        <v>495</v>
      </c>
      <c r="F105" s="3">
        <f>Habitat!$D$22*D105</f>
        <v>15.655345911949686</v>
      </c>
      <c r="G105" s="3">
        <f t="shared" si="17"/>
        <v>0</v>
      </c>
      <c r="H105" s="3">
        <f>IF(D105&lt;$C$7,0,IF(D105&gt;$C$6,0,1))</f>
        <v>0</v>
      </c>
      <c r="I105" s="47">
        <f t="shared" si="16"/>
        <v>0</v>
      </c>
      <c r="J105" s="48">
        <f>IF(C105=1,I105*Habitat!$I$36,0)+IF(C105=2,I105*Habitat!$J$36,0)+IF(C105=3,I105*Habitat!$K$36,0)+IF(C105=4,I105*Habitat!$L$36,0)+IF(C105=5,I105*Habitat!$M$36,0)</f>
        <v>0</v>
      </c>
      <c r="K105" s="48">
        <f>IF(C105=1,I105*Habitat!$I$35,0)+IF(C105=2,I105*Habitat!$J$35,0)+IF(C105=3,I105*Habitat!$K$35,0)+IF(C105=4,I105*Habitat!$L$35,0)+IF(C105=5,I105*Habitat!$M$35,0)</f>
        <v>0</v>
      </c>
      <c r="L105" s="48">
        <f>IF(C105=1,I105*Habitat!$I$34,0)+IF(C105=2,I105*Habitat!$J$34,0)+IF(C105=3,I105*Habitat!$K$34,0)+IF(C105=4,I105*Habitat!$L$34,0)+IF(C105=5,I105*Habitat!$M$34,0)</f>
        <v>0</v>
      </c>
      <c r="M105" s="48">
        <f>IF(C105=1,I105*Habitat!$I$37,0)+IF(C105=2,I105*Habitat!$J$37,0)+IF(C105=3,I105*Habitat!$K$37,0)+IF(C105=4,I105*Habitat!$L$37,0)+IF(C105=5,I105*Habitat!$M$37,0)</f>
        <v>0</v>
      </c>
      <c r="N105" s="48">
        <f>IF(C105=1,I105*Habitat!$I$38,0)+IF(C105=2,I105*Habitat!$J$38,0)+IF(C105=3,I105*Habitat!$K$38,0)+IF(C105=4,I105*Habitat!$L$38,0)+IF(C105=5,I105*Habitat!$M$38,0)*IF(C105=7,I105*Habitat!$O$38,0)</f>
        <v>0</v>
      </c>
      <c r="O105">
        <f>IF(C105=1,I105*Habitat!$I$39,0)+IF(C105=2,I105*Habitat!$J$39,0)+IF(C105=3,I105*Habitat!$K$39,0)+IF(C105=4,I105*Habitat!$L$39,0)+IF(C105=5,I105*Habitat!$M$39,0)</f>
        <v>0</v>
      </c>
    </row>
    <row r="106" spans="1:15">
      <c r="A106">
        <f t="shared" si="20"/>
        <v>95</v>
      </c>
      <c r="C106" s="5">
        <v>3</v>
      </c>
      <c r="D106" s="56">
        <f t="shared" si="19"/>
        <v>1275</v>
      </c>
      <c r="E106" s="48">
        <f t="shared" si="13"/>
        <v>500</v>
      </c>
      <c r="F106" s="3">
        <f>Habitat!$D$22*D106</f>
        <v>15.716981132075471</v>
      </c>
      <c r="G106" s="3">
        <f t="shared" si="17"/>
        <v>0</v>
      </c>
      <c r="H106" s="3">
        <f>IF(D106&lt;$C$7,0,IF(D106&gt;$C$6,0,1))</f>
        <v>0</v>
      </c>
      <c r="I106" s="47">
        <f t="shared" si="16"/>
        <v>0</v>
      </c>
      <c r="J106" s="48">
        <f>IF(C106=1,I106*Habitat!$I$36,0)+IF(C106=2,I106*Habitat!$J$36,0)+IF(C106=3,I106*Habitat!$K$36,0)+IF(C106=4,I106*Habitat!$L$36,0)+IF(C106=5,I106*Habitat!$M$36,0)</f>
        <v>0</v>
      </c>
      <c r="K106" s="48">
        <f>IF(C106=1,I106*Habitat!$I$35,0)+IF(C106=2,I106*Habitat!$J$35,0)+IF(C106=3,I106*Habitat!$K$35,0)+IF(C106=4,I106*Habitat!$L$35,0)+IF(C106=5,I106*Habitat!$M$35,0)</f>
        <v>0</v>
      </c>
      <c r="L106" s="48">
        <f>IF(C106=1,I106*Habitat!$I$34,0)+IF(C106=2,I106*Habitat!$J$34,0)+IF(C106=3,I106*Habitat!$K$34,0)+IF(C106=4,I106*Habitat!$L$34,0)+IF(C106=5,I106*Habitat!$M$34,0)</f>
        <v>0</v>
      </c>
      <c r="M106" s="48">
        <f>IF(C106=1,I106*Habitat!$I$37,0)+IF(C106=2,I106*Habitat!$J$37,0)+IF(C106=3,I106*Habitat!$K$37,0)+IF(C106=4,I106*Habitat!$L$37,0)+IF(C106=5,I106*Habitat!$M$37,0)</f>
        <v>0</v>
      </c>
      <c r="N106" s="48">
        <f>IF(C106=1,I106*Habitat!$I$38,0)+IF(C106=2,I106*Habitat!$J$38,0)+IF(C106=3,I106*Habitat!$K$38,0)+IF(C106=4,I106*Habitat!$L$38,0)+IF(C106=5,I106*Habitat!$M$38,0)*IF(C106=7,I106*Habitat!$O$38,0)</f>
        <v>0</v>
      </c>
      <c r="O106">
        <f>IF(C106=1,I106*Habitat!$I$39,0)+IF(C106=2,I106*Habitat!$J$39,0)+IF(C106=3,I106*Habitat!$K$39,0)+IF(C106=4,I106*Habitat!$L$39,0)+IF(C106=5,I106*Habitat!$M$39,0)</f>
        <v>0</v>
      </c>
    </row>
    <row r="107" spans="1:15">
      <c r="A107">
        <f t="shared" si="20"/>
        <v>96</v>
      </c>
      <c r="C107" s="5">
        <v>3</v>
      </c>
      <c r="D107" s="56">
        <f t="shared" si="19"/>
        <v>1280</v>
      </c>
      <c r="E107" s="48">
        <f t="shared" si="13"/>
        <v>505</v>
      </c>
      <c r="F107" s="3">
        <f>Habitat!$D$22*D107</f>
        <v>15.778616352201258</v>
      </c>
      <c r="G107" s="3">
        <f t="shared" si="17"/>
        <v>0</v>
      </c>
      <c r="H107" s="3">
        <f>IF(D107&lt;$C$7,0,IF(D107&gt;$C$6,0,1))</f>
        <v>0</v>
      </c>
      <c r="I107" s="47">
        <f t="shared" si="16"/>
        <v>0</v>
      </c>
      <c r="J107" s="48">
        <f>IF(C107=1,I107*Habitat!$I$36,0)+IF(C107=2,I107*Habitat!$J$36,0)+IF(C107=3,I107*Habitat!$K$36,0)+IF(C107=4,I107*Habitat!$L$36,0)+IF(C107=5,I107*Habitat!$M$36,0)</f>
        <v>0</v>
      </c>
      <c r="K107" s="48">
        <f>IF(C107=1,I107*Habitat!$I$35,0)+IF(C107=2,I107*Habitat!$J$35,0)+IF(C107=3,I107*Habitat!$K$35,0)+IF(C107=4,I107*Habitat!$L$35,0)+IF(C107=5,I107*Habitat!$M$35,0)</f>
        <v>0</v>
      </c>
      <c r="L107" s="48">
        <f>IF(C107=1,I107*Habitat!$I$34,0)+IF(C107=2,I107*Habitat!$J$34,0)+IF(C107=3,I107*Habitat!$K$34,0)+IF(C107=4,I107*Habitat!$L$34,0)+IF(C107=5,I107*Habitat!$M$34,0)</f>
        <v>0</v>
      </c>
      <c r="M107" s="48">
        <f>IF(C107=1,I107*Habitat!$I$37,0)+IF(C107=2,I107*Habitat!$J$37,0)+IF(C107=3,I107*Habitat!$K$37,0)+IF(C107=4,I107*Habitat!$L$37,0)+IF(C107=5,I107*Habitat!$M$37,0)</f>
        <v>0</v>
      </c>
      <c r="N107" s="48">
        <f>IF(C107=1,I107*Habitat!$I$38,0)+IF(C107=2,I107*Habitat!$J$38,0)+IF(C107=3,I107*Habitat!$K$38,0)+IF(C107=4,I107*Habitat!$L$38,0)+IF(C107=5,I107*Habitat!$M$38,0)*IF(C107=7,I107*Habitat!$O$38,0)</f>
        <v>0</v>
      </c>
      <c r="O107">
        <f>IF(C107=1,I107*Habitat!$I$39,0)+IF(C107=2,I107*Habitat!$J$39,0)+IF(C107=3,I107*Habitat!$K$39,0)+IF(C107=4,I107*Habitat!$L$39,0)+IF(C107=5,I107*Habitat!$M$39,0)</f>
        <v>0</v>
      </c>
    </row>
    <row r="108" spans="1:15">
      <c r="A108">
        <f t="shared" si="20"/>
        <v>97</v>
      </c>
      <c r="C108" s="5">
        <v>3</v>
      </c>
      <c r="D108" s="56">
        <f t="shared" si="19"/>
        <v>1285</v>
      </c>
      <c r="E108" s="48">
        <f t="shared" si="13"/>
        <v>510</v>
      </c>
      <c r="F108" s="3">
        <f>Habitat!$D$22*D108</f>
        <v>15.840251572327045</v>
      </c>
      <c r="G108" s="3">
        <f t="shared" si="17"/>
        <v>0</v>
      </c>
      <c r="H108" s="3">
        <f>IF(D108&lt;$C$7,0,IF(D108&gt;$C$6,0,1))</f>
        <v>0</v>
      </c>
      <c r="I108" s="47">
        <f t="shared" si="16"/>
        <v>0</v>
      </c>
      <c r="J108" s="48">
        <f>IF(C108=1,I108*Habitat!$I$36,0)+IF(C108=2,I108*Habitat!$J$36,0)+IF(C108=3,I108*Habitat!$K$36,0)+IF(C108=4,I108*Habitat!$L$36,0)+IF(C108=5,I108*Habitat!$M$36,0)</f>
        <v>0</v>
      </c>
      <c r="K108" s="48">
        <f>IF(C108=1,I108*Habitat!$I$35,0)+IF(C108=2,I108*Habitat!$J$35,0)+IF(C108=3,I108*Habitat!$K$35,0)+IF(C108=4,I108*Habitat!$L$35,0)+IF(C108=5,I108*Habitat!$M$35,0)</f>
        <v>0</v>
      </c>
      <c r="L108" s="48">
        <f>IF(C108=1,I108*Habitat!$I$34,0)+IF(C108=2,I108*Habitat!$J$34,0)+IF(C108=3,I108*Habitat!$K$34,0)+IF(C108=4,I108*Habitat!$L$34,0)+IF(C108=5,I108*Habitat!$M$34,0)</f>
        <v>0</v>
      </c>
      <c r="M108" s="48">
        <f>IF(C108=1,I108*Habitat!$I$37,0)+IF(C108=2,I108*Habitat!$J$37,0)+IF(C108=3,I108*Habitat!$K$37,0)+IF(C108=4,I108*Habitat!$L$37,0)+IF(C108=5,I108*Habitat!$M$37,0)</f>
        <v>0</v>
      </c>
      <c r="N108" s="48">
        <f>IF(C108=1,I108*Habitat!$I$38,0)+IF(C108=2,I108*Habitat!$J$38,0)+IF(C108=3,I108*Habitat!$K$38,0)+IF(C108=4,I108*Habitat!$L$38,0)+IF(C108=5,I108*Habitat!$M$38,0)*IF(C108=7,I108*Habitat!$O$38,0)</f>
        <v>0</v>
      </c>
      <c r="O108">
        <f>IF(C108=1,I108*Habitat!$I$39,0)+IF(C108=2,I108*Habitat!$J$39,0)+IF(C108=3,I108*Habitat!$K$39,0)+IF(C108=4,I108*Habitat!$L$39,0)+IF(C108=5,I108*Habitat!$M$39,0)</f>
        <v>0</v>
      </c>
    </row>
    <row r="109" spans="1:15">
      <c r="A109">
        <f t="shared" si="20"/>
        <v>98</v>
      </c>
      <c r="C109" s="5">
        <v>3</v>
      </c>
      <c r="D109" s="56">
        <f t="shared" si="19"/>
        <v>1290</v>
      </c>
      <c r="E109" s="48">
        <f t="shared" si="13"/>
        <v>515</v>
      </c>
      <c r="F109" s="3">
        <f>Habitat!$D$22*D109</f>
        <v>15.90188679245283</v>
      </c>
      <c r="G109" s="3">
        <f t="shared" si="17"/>
        <v>0</v>
      </c>
      <c r="H109" s="3">
        <f>IF(D109&lt;$C$7,0,IF(D109&gt;$C$6,0,1))</f>
        <v>0</v>
      </c>
      <c r="I109" s="47">
        <f t="shared" si="16"/>
        <v>0</v>
      </c>
      <c r="J109" s="48">
        <f>IF(C109=1,I109*Habitat!$I$36,0)+IF(C109=2,I109*Habitat!$J$36,0)+IF(C109=3,I109*Habitat!$K$36,0)+IF(C109=4,I109*Habitat!$L$36,0)+IF(C109=5,I109*Habitat!$M$36,0)</f>
        <v>0</v>
      </c>
      <c r="K109" s="48">
        <f>IF(C109=1,I109*Habitat!$I$35,0)+IF(C109=2,I109*Habitat!$J$35,0)+IF(C109=3,I109*Habitat!$K$35,0)+IF(C109=4,I109*Habitat!$L$35,0)+IF(C109=5,I109*Habitat!$M$35,0)</f>
        <v>0</v>
      </c>
      <c r="L109" s="48">
        <f>IF(C109=1,I109*Habitat!$I$34,0)+IF(C109=2,I109*Habitat!$J$34,0)+IF(C109=3,I109*Habitat!$K$34,0)+IF(C109=4,I109*Habitat!$L$34,0)+IF(C109=5,I109*Habitat!$M$34,0)</f>
        <v>0</v>
      </c>
      <c r="M109" s="48">
        <f>IF(C109=1,I109*Habitat!$I$37,0)+IF(C109=2,I109*Habitat!$J$37,0)+IF(C109=3,I109*Habitat!$K$37,0)+IF(C109=4,I109*Habitat!$L$37,0)+IF(C109=5,I109*Habitat!$M$37,0)</f>
        <v>0</v>
      </c>
      <c r="N109" s="48">
        <f>IF(C109=1,I109*Habitat!$I$38,0)+IF(C109=2,I109*Habitat!$J$38,0)+IF(C109=3,I109*Habitat!$K$38,0)+IF(C109=4,I109*Habitat!$L$38,0)+IF(C109=5,I109*Habitat!$M$38,0)*IF(C109=7,I109*Habitat!$O$38,0)</f>
        <v>0</v>
      </c>
      <c r="O109">
        <f>IF(C109=1,I109*Habitat!$I$39,0)+IF(C109=2,I109*Habitat!$J$39,0)+IF(C109=3,I109*Habitat!$K$39,0)+IF(C109=4,I109*Habitat!$L$39,0)+IF(C109=5,I109*Habitat!$M$39,0)</f>
        <v>0</v>
      </c>
    </row>
    <row r="110" spans="1:15">
      <c r="A110">
        <f t="shared" si="20"/>
        <v>99</v>
      </c>
      <c r="C110" s="5">
        <v>3</v>
      </c>
      <c r="D110" s="56">
        <f t="shared" si="19"/>
        <v>1295</v>
      </c>
      <c r="E110" s="48">
        <f t="shared" si="13"/>
        <v>520</v>
      </c>
      <c r="F110" s="3">
        <f>Habitat!$D$22*D110</f>
        <v>15.963522012578617</v>
      </c>
      <c r="G110" s="3">
        <f t="shared" si="17"/>
        <v>0</v>
      </c>
      <c r="H110" s="3">
        <f>IF(D110&lt;$C$7,0,IF(D110&gt;$C$6,0,1))</f>
        <v>0</v>
      </c>
      <c r="I110" s="47">
        <f t="shared" si="16"/>
        <v>0</v>
      </c>
      <c r="J110" s="48">
        <f>IF(C110=1,I110*Habitat!$I$36,0)+IF(C110=2,I110*Habitat!$J$36,0)+IF(C110=3,I110*Habitat!$K$36,0)+IF(C110=4,I110*Habitat!$L$36,0)+IF(C110=5,I110*Habitat!$M$36,0)</f>
        <v>0</v>
      </c>
      <c r="K110" s="48">
        <f>IF(C110=1,I110*Habitat!$I$35,0)+IF(C110=2,I110*Habitat!$J$35,0)+IF(C110=3,I110*Habitat!$K$35,0)+IF(C110=4,I110*Habitat!$L$35,0)+IF(C110=5,I110*Habitat!$M$35,0)</f>
        <v>0</v>
      </c>
      <c r="L110" s="48">
        <f>IF(C110=1,I110*Habitat!$I$34,0)+IF(C110=2,I110*Habitat!$J$34,0)+IF(C110=3,I110*Habitat!$K$34,0)+IF(C110=4,I110*Habitat!$L$34,0)+IF(C110=5,I110*Habitat!$M$34,0)</f>
        <v>0</v>
      </c>
      <c r="M110" s="48">
        <f>IF(C110=1,I110*Habitat!$I$37,0)+IF(C110=2,I110*Habitat!$J$37,0)+IF(C110=3,I110*Habitat!$K$37,0)+IF(C110=4,I110*Habitat!$L$37,0)+IF(C110=5,I110*Habitat!$M$37,0)</f>
        <v>0</v>
      </c>
      <c r="N110" s="48">
        <f>IF(C110=1,I110*Habitat!$I$38,0)+IF(C110=2,I110*Habitat!$J$38,0)+IF(C110=3,I110*Habitat!$K$38,0)+IF(C110=4,I110*Habitat!$L$38,0)+IF(C110=5,I110*Habitat!$M$38,0)*IF(C110=7,I110*Habitat!$O$38,0)</f>
        <v>0</v>
      </c>
      <c r="O110">
        <f>IF(C110=1,I110*Habitat!$I$39,0)+IF(C110=2,I110*Habitat!$J$39,0)+IF(C110=3,I110*Habitat!$K$39,0)+IF(C110=4,I110*Habitat!$L$39,0)+IF(C110=5,I110*Habitat!$M$39,0)</f>
        <v>0</v>
      </c>
    </row>
    <row r="111" spans="1:15">
      <c r="A111">
        <f t="shared" si="20"/>
        <v>100</v>
      </c>
      <c r="C111" s="5">
        <v>3</v>
      </c>
      <c r="D111" s="56">
        <f t="shared" si="19"/>
        <v>1300</v>
      </c>
      <c r="E111" s="48">
        <f t="shared" ref="E111:E174" si="21">IF(D111&lt;=$C$7,D110-$C$7,D111-$C$7)</f>
        <v>525</v>
      </c>
      <c r="F111" s="3">
        <f>Habitat!$D$22*D111</f>
        <v>16.025157232704402</v>
      </c>
      <c r="G111" s="3">
        <f t="shared" si="17"/>
        <v>0</v>
      </c>
      <c r="H111" s="3">
        <f>IF(D111&lt;$C$7,0,IF(D111&gt;$C$6,0,1))</f>
        <v>0</v>
      </c>
      <c r="I111" s="47">
        <f t="shared" si="16"/>
        <v>0</v>
      </c>
      <c r="J111" s="48">
        <f>IF(C111=1,I111*Habitat!$I$36,0)+IF(C111=2,I111*Habitat!$J$36,0)+IF(C111=3,I111*Habitat!$K$36,0)+IF(C111=4,I111*Habitat!$L$36,0)+IF(C111=5,I111*Habitat!$M$36,0)</f>
        <v>0</v>
      </c>
      <c r="K111" s="48">
        <f>IF(C111=1,I111*Habitat!$I$35,0)+IF(C111=2,I111*Habitat!$J$35,0)+IF(C111=3,I111*Habitat!$K$35,0)+IF(C111=4,I111*Habitat!$L$35,0)+IF(C111=5,I111*Habitat!$M$35,0)</f>
        <v>0</v>
      </c>
      <c r="L111" s="48">
        <f>IF(C111=1,I111*Habitat!$I$34,0)+IF(C111=2,I111*Habitat!$J$34,0)+IF(C111=3,I111*Habitat!$K$34,0)+IF(C111=4,I111*Habitat!$L$34,0)+IF(C111=5,I111*Habitat!$M$34,0)</f>
        <v>0</v>
      </c>
      <c r="M111" s="48">
        <f>IF(C111=1,I111*Habitat!$I$37,0)+IF(C111=2,I111*Habitat!$J$37,0)+IF(C111=3,I111*Habitat!$K$37,0)+IF(C111=4,I111*Habitat!$L$37,0)+IF(C111=5,I111*Habitat!$M$37,0)</f>
        <v>0</v>
      </c>
      <c r="N111" s="48">
        <f>IF(C111=1,I111*Habitat!$I$38,0)+IF(C111=2,I111*Habitat!$J$38,0)+IF(C111=3,I111*Habitat!$K$38,0)+IF(C111=4,I111*Habitat!$L$38,0)+IF(C111=5,I111*Habitat!$M$38,0)*IF(C111=7,I111*Habitat!$O$38,0)</f>
        <v>0</v>
      </c>
      <c r="O111">
        <f>IF(C111=1,I111*Habitat!$I$39,0)+IF(C111=2,I111*Habitat!$J$39,0)+IF(C111=3,I111*Habitat!$K$39,0)+IF(C111=4,I111*Habitat!$L$39,0)+IF(C111=5,I111*Habitat!$M$39,0)</f>
        <v>0</v>
      </c>
    </row>
    <row r="112" spans="1:15">
      <c r="A112">
        <f t="shared" si="20"/>
        <v>101</v>
      </c>
      <c r="C112" s="5">
        <v>3</v>
      </c>
      <c r="D112" s="56">
        <f t="shared" si="19"/>
        <v>1305</v>
      </c>
      <c r="E112" s="48">
        <f t="shared" si="21"/>
        <v>530</v>
      </c>
      <c r="F112" s="3">
        <f>Habitat!$D$22*D112</f>
        <v>16.086792452830188</v>
      </c>
      <c r="G112" s="3">
        <f t="shared" si="17"/>
        <v>0</v>
      </c>
      <c r="H112" s="3">
        <f>IF(D112&lt;$C$7,0,IF(D112&gt;$C$6,0,1))</f>
        <v>0</v>
      </c>
      <c r="I112" s="47">
        <f t="shared" si="16"/>
        <v>0</v>
      </c>
      <c r="J112" s="48">
        <f>IF(C112=1,I112*Habitat!$I$36,0)+IF(C112=2,I112*Habitat!$J$36,0)+IF(C112=3,I112*Habitat!$K$36,0)+IF(C112=4,I112*Habitat!$L$36,0)+IF(C112=5,I112*Habitat!$M$36,0)</f>
        <v>0</v>
      </c>
      <c r="K112" s="48">
        <f>IF(C112=1,I112*Habitat!$I$35,0)+IF(C112=2,I112*Habitat!$J$35,0)+IF(C112=3,I112*Habitat!$K$35,0)+IF(C112=4,I112*Habitat!$L$35,0)+IF(C112=5,I112*Habitat!$M$35,0)</f>
        <v>0</v>
      </c>
      <c r="L112" s="48">
        <f>IF(C112=1,I112*Habitat!$I$34,0)+IF(C112=2,I112*Habitat!$J$34,0)+IF(C112=3,I112*Habitat!$K$34,0)+IF(C112=4,I112*Habitat!$L$34,0)+IF(C112=5,I112*Habitat!$M$34,0)</f>
        <v>0</v>
      </c>
      <c r="M112" s="48">
        <f>IF(C112=1,I112*Habitat!$I$37,0)+IF(C112=2,I112*Habitat!$J$37,0)+IF(C112=3,I112*Habitat!$K$37,0)+IF(C112=4,I112*Habitat!$L$37,0)+IF(C112=5,I112*Habitat!$M$37,0)</f>
        <v>0</v>
      </c>
      <c r="N112" s="48">
        <f>IF(C112=1,I112*Habitat!$I$38,0)+IF(C112=2,I112*Habitat!$J$38,0)+IF(C112=3,I112*Habitat!$K$38,0)+IF(C112=4,I112*Habitat!$L$38,0)+IF(C112=5,I112*Habitat!$M$38,0)*IF(C112=7,I112*Habitat!$O$38,0)</f>
        <v>0</v>
      </c>
      <c r="O112">
        <f>IF(C112=1,I112*Habitat!$I$39,0)+IF(C112=2,I112*Habitat!$J$39,0)+IF(C112=3,I112*Habitat!$K$39,0)+IF(C112=4,I112*Habitat!$L$39,0)+IF(C112=5,I112*Habitat!$M$39,0)</f>
        <v>0</v>
      </c>
    </row>
    <row r="113" spans="1:15">
      <c r="A113">
        <f t="shared" si="20"/>
        <v>102</v>
      </c>
      <c r="C113" s="5">
        <v>3</v>
      </c>
      <c r="D113" s="56">
        <f t="shared" si="19"/>
        <v>1310</v>
      </c>
      <c r="E113" s="48">
        <f t="shared" si="21"/>
        <v>535</v>
      </c>
      <c r="F113" s="3">
        <f>Habitat!$D$22*D113</f>
        <v>16.148427672955975</v>
      </c>
      <c r="G113" s="3">
        <f t="shared" si="17"/>
        <v>0</v>
      </c>
      <c r="H113" s="3">
        <f>IF(D113&lt;$C$7,0,IF(D113&gt;$C$6,0,1))</f>
        <v>0</v>
      </c>
      <c r="I113" s="47">
        <f t="shared" si="16"/>
        <v>0</v>
      </c>
      <c r="J113" s="48">
        <f>IF(C113=1,I113*Habitat!$I$36,0)+IF(C113=2,I113*Habitat!$J$36,0)+IF(C113=3,I113*Habitat!$K$36,0)+IF(C113=4,I113*Habitat!$L$36,0)+IF(C113=5,I113*Habitat!$M$36,0)</f>
        <v>0</v>
      </c>
      <c r="K113" s="48">
        <f>IF(C113=1,I113*Habitat!$I$35,0)+IF(C113=2,I113*Habitat!$J$35,0)+IF(C113=3,I113*Habitat!$K$35,0)+IF(C113=4,I113*Habitat!$L$35,0)+IF(C113=5,I113*Habitat!$M$35,0)</f>
        <v>0</v>
      </c>
      <c r="L113" s="48">
        <f>IF(C113=1,I113*Habitat!$I$34,0)+IF(C113=2,I113*Habitat!$J$34,0)+IF(C113=3,I113*Habitat!$K$34,0)+IF(C113=4,I113*Habitat!$L$34,0)+IF(C113=5,I113*Habitat!$M$34,0)</f>
        <v>0</v>
      </c>
      <c r="M113" s="48">
        <f>IF(C113=1,I113*Habitat!$I$37,0)+IF(C113=2,I113*Habitat!$J$37,0)+IF(C113=3,I113*Habitat!$K$37,0)+IF(C113=4,I113*Habitat!$L$37,0)+IF(C113=5,I113*Habitat!$M$37,0)</f>
        <v>0</v>
      </c>
      <c r="N113" s="48">
        <f>IF(C113=1,I113*Habitat!$I$38,0)+IF(C113=2,I113*Habitat!$J$38,0)+IF(C113=3,I113*Habitat!$K$38,0)+IF(C113=4,I113*Habitat!$L$38,0)+IF(C113=5,I113*Habitat!$M$38,0)*IF(C113=7,I113*Habitat!$O$38,0)</f>
        <v>0</v>
      </c>
      <c r="O113">
        <f>IF(C113=1,I113*Habitat!$I$39,0)+IF(C113=2,I113*Habitat!$J$39,0)+IF(C113=3,I113*Habitat!$K$39,0)+IF(C113=4,I113*Habitat!$L$39,0)+IF(C113=5,I113*Habitat!$M$39,0)</f>
        <v>0</v>
      </c>
    </row>
    <row r="114" spans="1:15">
      <c r="A114">
        <f t="shared" si="20"/>
        <v>103</v>
      </c>
      <c r="C114" s="5">
        <v>3</v>
      </c>
      <c r="D114" s="56">
        <f t="shared" si="19"/>
        <v>1315</v>
      </c>
      <c r="E114" s="48">
        <f t="shared" si="21"/>
        <v>540</v>
      </c>
      <c r="F114" s="3">
        <f>Habitat!$D$22*D114</f>
        <v>16.210062893081762</v>
      </c>
      <c r="G114" s="3">
        <f t="shared" si="17"/>
        <v>0</v>
      </c>
      <c r="H114" s="3">
        <f>IF(D114&lt;$C$7,0,IF(D114&gt;$C$6,0,1))</f>
        <v>0</v>
      </c>
      <c r="I114" s="47">
        <f t="shared" si="16"/>
        <v>0</v>
      </c>
      <c r="J114" s="48">
        <f>IF(C114=1,I114*Habitat!$I$36,0)+IF(C114=2,I114*Habitat!$J$36,0)+IF(C114=3,I114*Habitat!$K$36,0)+IF(C114=4,I114*Habitat!$L$36,0)+IF(C114=5,I114*Habitat!$M$36,0)</f>
        <v>0</v>
      </c>
      <c r="K114" s="48">
        <f>IF(C114=1,I114*Habitat!$I$35,0)+IF(C114=2,I114*Habitat!$J$35,0)+IF(C114=3,I114*Habitat!$K$35,0)+IF(C114=4,I114*Habitat!$L$35,0)+IF(C114=5,I114*Habitat!$M$35,0)</f>
        <v>0</v>
      </c>
      <c r="L114" s="48">
        <f>IF(C114=1,I114*Habitat!$I$34,0)+IF(C114=2,I114*Habitat!$J$34,0)+IF(C114=3,I114*Habitat!$K$34,0)+IF(C114=4,I114*Habitat!$L$34,0)+IF(C114=5,I114*Habitat!$M$34,0)</f>
        <v>0</v>
      </c>
      <c r="M114" s="48">
        <f>IF(C114=1,I114*Habitat!$I$37,0)+IF(C114=2,I114*Habitat!$J$37,0)+IF(C114=3,I114*Habitat!$K$37,0)+IF(C114=4,I114*Habitat!$L$37,0)+IF(C114=5,I114*Habitat!$M$37,0)</f>
        <v>0</v>
      </c>
      <c r="N114" s="48">
        <f>IF(C114=1,I114*Habitat!$I$38,0)+IF(C114=2,I114*Habitat!$J$38,0)+IF(C114=3,I114*Habitat!$K$38,0)+IF(C114=4,I114*Habitat!$L$38,0)+IF(C114=5,I114*Habitat!$M$38,0)</f>
        <v>0</v>
      </c>
      <c r="O114">
        <f>IF(C114=1,I114*Habitat!$I$39,0)+IF(C114=2,I114*Habitat!$J$39,0)+IF(C114=3,I114*Habitat!$K$39,0)+IF(C114=4,I114*Habitat!$L$39,0)+IF(C114=5,I114*Habitat!$M$39,0)</f>
        <v>0</v>
      </c>
    </row>
    <row r="115" spans="1:15">
      <c r="A115">
        <f t="shared" si="20"/>
        <v>104</v>
      </c>
      <c r="C115" s="5">
        <v>3</v>
      </c>
      <c r="D115" s="56">
        <f t="shared" si="19"/>
        <v>1320</v>
      </c>
      <c r="E115" s="48">
        <f t="shared" si="21"/>
        <v>545</v>
      </c>
      <c r="F115" s="3">
        <f>Habitat!$D$22*D115</f>
        <v>16.271698113207549</v>
      </c>
      <c r="G115" s="3">
        <f t="shared" si="17"/>
        <v>0</v>
      </c>
      <c r="H115" s="3">
        <f>IF(D115&lt;$C$7,0,IF(D115&gt;$C$6,0,1))</f>
        <v>0</v>
      </c>
      <c r="I115" s="47">
        <f t="shared" si="16"/>
        <v>0</v>
      </c>
      <c r="J115" s="48">
        <f>IF(C115=1,I115*Habitat!$I$36,0)+IF(C115=2,I115*Habitat!$J$36,0)+IF(C115=3,I115*Habitat!$K$36,0)+IF(C115=4,I115*Habitat!$L$36,0)+IF(C115=5,I115*Habitat!$M$36,0)</f>
        <v>0</v>
      </c>
      <c r="K115" s="48">
        <f>IF(C115=1,I115*Habitat!$I$35,0)+IF(C115=2,I115*Habitat!$J$35,0)+IF(C115=3,I115*Habitat!$K$35,0)+IF(C115=4,I115*Habitat!$L$35,0)+IF(C115=5,I115*Habitat!$M$35,0)</f>
        <v>0</v>
      </c>
      <c r="L115" s="48">
        <f>IF(C115=1,I115*Habitat!$I$34,0)+IF(C115=2,I115*Habitat!$J$34,0)+IF(C115=3,I115*Habitat!$K$34,0)+IF(C115=4,I115*Habitat!$L$34,0)+IF(C115=5,I115*Habitat!$M$34,0)</f>
        <v>0</v>
      </c>
      <c r="M115" s="48">
        <f>IF(C115=1,I115*Habitat!$I$37,0)+IF(C115=2,I115*Habitat!$J$37,0)+IF(C115=3,I115*Habitat!$K$37,0)+IF(C115=4,I115*Habitat!$L$37,0)+IF(C115=5,I115*Habitat!$M$37,0)</f>
        <v>0</v>
      </c>
      <c r="N115" s="48">
        <f>IF(C115=1,I115*Habitat!$I$38,0)+IF(C115=2,I115*Habitat!$J$38,0)+IF(C115=3,I115*Habitat!$K$38,0)+IF(C115=4,I115*Habitat!$L$38,0)+IF(C115=5,I115*Habitat!$M$38,0)</f>
        <v>0</v>
      </c>
      <c r="O115">
        <f>IF(C115=1,I115*Habitat!$I$39,0)+IF(C115=2,I115*Habitat!$J$39,0)+IF(C115=3,I115*Habitat!$K$39,0)+IF(C115=4,I115*Habitat!$L$39,0)+IF(C115=5,I115*Habitat!$M$39,0)</f>
        <v>0</v>
      </c>
    </row>
    <row r="116" spans="1:15">
      <c r="A116">
        <f t="shared" ref="A116:A129" si="22">A115+1</f>
        <v>105</v>
      </c>
      <c r="C116" s="5">
        <v>3</v>
      </c>
      <c r="D116" s="56">
        <f t="shared" si="19"/>
        <v>1325</v>
      </c>
      <c r="E116" s="48">
        <f t="shared" si="21"/>
        <v>550</v>
      </c>
      <c r="F116" s="3">
        <f>Habitat!$D$22*D116</f>
        <v>16.333333333333332</v>
      </c>
      <c r="G116" s="3">
        <f t="shared" si="17"/>
        <v>0</v>
      </c>
      <c r="H116" s="3">
        <f>IF(D116&lt;$C$7,0,IF(D116&gt;$C$6,0,1))</f>
        <v>0</v>
      </c>
      <c r="I116" s="47">
        <f t="shared" si="16"/>
        <v>0</v>
      </c>
      <c r="J116" s="48">
        <f>IF(C116=1,I116*Habitat!$I$36,0)+IF(C116=2,I116*Habitat!$J$36,0)+IF(C116=3,I116*Habitat!$K$36,0)+IF(C116=4,I116*Habitat!$L$36,0)+IF(C116=5,I116*Habitat!$M$36,0)</f>
        <v>0</v>
      </c>
      <c r="K116" s="48">
        <f>IF(C116=1,I116*Habitat!$I$35,0)+IF(C116=2,I116*Habitat!$J$35,0)+IF(C116=3,I116*Habitat!$K$35,0)+IF(C116=4,I116*Habitat!$L$35,0)+IF(C116=5,I116*Habitat!$M$35,0)</f>
        <v>0</v>
      </c>
      <c r="L116" s="48">
        <f>IF(C116=1,I116*Habitat!$I$34,0)+IF(C116=2,I116*Habitat!$J$34,0)+IF(C116=3,I116*Habitat!$K$34,0)+IF(C116=4,I116*Habitat!$L$34,0)+IF(C116=5,I116*Habitat!$M$34,0)</f>
        <v>0</v>
      </c>
      <c r="M116" s="48">
        <f>IF(C116=1,I116*Habitat!$I$37,0)+IF(C116=2,I116*Habitat!$J$37,0)+IF(C116=3,I116*Habitat!$K$37,0)+IF(C116=4,I116*Habitat!$L$37,0)+IF(C116=5,I116*Habitat!$M$37,0)</f>
        <v>0</v>
      </c>
      <c r="N116" s="48">
        <f>IF(C116=1,I116*Habitat!$I$38,0)+IF(C116=2,I116*Habitat!$J$38,0)+IF(C116=3,I116*Habitat!$K$38,0)+IF(C116=4,I116*Habitat!$L$38,0)+IF(C116=5,I116*Habitat!$M$38,0)</f>
        <v>0</v>
      </c>
      <c r="O116">
        <f>IF(C116=1,I116*Habitat!$I$39,0)+IF(C116=2,I116*Habitat!$J$39,0)+IF(C116=3,I116*Habitat!$K$39,0)+IF(C116=4,I116*Habitat!$L$39,0)+IF(C116=5,I116*Habitat!$M$39,0)</f>
        <v>0</v>
      </c>
    </row>
    <row r="117" spans="1:15">
      <c r="A117">
        <f t="shared" si="22"/>
        <v>106</v>
      </c>
      <c r="C117" s="5">
        <v>3</v>
      </c>
      <c r="D117" s="56">
        <f t="shared" si="19"/>
        <v>1330</v>
      </c>
      <c r="E117" s="48">
        <f t="shared" si="21"/>
        <v>555</v>
      </c>
      <c r="F117" s="3">
        <f>Habitat!$D$22*D117</f>
        <v>16.394968553459119</v>
      </c>
      <c r="G117" s="3">
        <f t="shared" si="17"/>
        <v>0</v>
      </c>
      <c r="H117" s="3">
        <f>IF(D117&lt;$C$7,0,IF(D117&gt;$C$6,0,1))</f>
        <v>0</v>
      </c>
      <c r="I117" s="47">
        <f t="shared" si="16"/>
        <v>0</v>
      </c>
      <c r="J117" s="48">
        <f>IF(C117=1,I117*Habitat!$I$36,0)+IF(C117=2,I117*Habitat!$J$36,0)+IF(C117=3,I117*Habitat!$K$36,0)+IF(C117=4,I117*Habitat!$L$36,0)+IF(C117=5,I117*Habitat!$M$36,0)</f>
        <v>0</v>
      </c>
      <c r="K117" s="48">
        <f>IF(C117=1,I117*Habitat!$I$35,0)+IF(C117=2,I117*Habitat!$J$35,0)+IF(C117=3,I117*Habitat!$K$35,0)+IF(C117=4,I117*Habitat!$L$35,0)+IF(C117=5,I117*Habitat!$M$35,0)</f>
        <v>0</v>
      </c>
      <c r="L117" s="48">
        <f>IF(C117=1,I117*Habitat!$I$34,0)+IF(C117=2,I117*Habitat!$J$34,0)+IF(C117=3,I117*Habitat!$K$34,0)+IF(C117=4,I117*Habitat!$L$34,0)+IF(C117=5,I117*Habitat!$M$34,0)</f>
        <v>0</v>
      </c>
      <c r="M117" s="48">
        <f>IF(C117=1,I117*Habitat!$I$37,0)+IF(C117=2,I117*Habitat!$J$37,0)+IF(C117=3,I117*Habitat!$K$37,0)+IF(C117=4,I117*Habitat!$L$37,0)+IF(C117=5,I117*Habitat!$M$37,0)</f>
        <v>0</v>
      </c>
      <c r="N117" s="48">
        <f>IF(C117=1,I117*Habitat!$I$38,0)+IF(C117=2,I117*Habitat!$J$38,0)+IF(C117=3,I117*Habitat!$K$38,0)+IF(C117=4,I117*Habitat!$L$38,0)+IF(C117=5,I117*Habitat!$M$38,0)</f>
        <v>0</v>
      </c>
      <c r="O117">
        <f>IF(C117=1,I117*Habitat!$I$39,0)+IF(C117=2,I117*Habitat!$J$39,0)+IF(C117=3,I117*Habitat!$K$39,0)+IF(C117=4,I117*Habitat!$L$39,0)+IF(C117=5,I117*Habitat!$M$39,0)</f>
        <v>0</v>
      </c>
    </row>
    <row r="118" spans="1:15">
      <c r="A118">
        <f t="shared" si="22"/>
        <v>107</v>
      </c>
      <c r="C118" s="5">
        <v>3</v>
      </c>
      <c r="D118" s="56">
        <f t="shared" si="19"/>
        <v>1335</v>
      </c>
      <c r="E118" s="48">
        <f t="shared" si="21"/>
        <v>560</v>
      </c>
      <c r="F118" s="3">
        <f>Habitat!$D$22*D118</f>
        <v>16.456603773584906</v>
      </c>
      <c r="G118" s="3">
        <f t="shared" si="17"/>
        <v>0</v>
      </c>
      <c r="H118" s="3">
        <f>IF(D118&lt;$C$7,0,IF(D118&gt;$C$6,0,1))</f>
        <v>0</v>
      </c>
      <c r="I118" s="47">
        <f t="shared" si="16"/>
        <v>0</v>
      </c>
      <c r="J118" s="48">
        <f>IF(C118=1,I118*Habitat!$I$36,0)+IF(C118=2,I118*Habitat!$J$36,0)+IF(C118=3,I118*Habitat!$K$36,0)+IF(C118=4,I118*Habitat!$L$36,0)+IF(C118=5,I118*Habitat!$M$36,0)</f>
        <v>0</v>
      </c>
      <c r="K118" s="48">
        <f>IF(C118=1,I118*Habitat!$I$35,0)+IF(C118=2,I118*Habitat!$J$35,0)+IF(C118=3,I118*Habitat!$K$35,0)+IF(C118=4,I118*Habitat!$L$35,0)+IF(C118=5,I118*Habitat!$M$35,0)</f>
        <v>0</v>
      </c>
      <c r="L118" s="48">
        <f>IF(C118=1,I118*Habitat!$I$34,0)+IF(C118=2,I118*Habitat!$J$34,0)+IF(C118=3,I118*Habitat!$K$34,0)+IF(C118=4,I118*Habitat!$L$34,0)+IF(C118=5,I118*Habitat!$M$34,0)</f>
        <v>0</v>
      </c>
      <c r="M118" s="48">
        <f>IF(C118=1,I118*Habitat!$I$37,0)+IF(C118=2,I118*Habitat!$J$37,0)+IF(C118=3,I118*Habitat!$K$37,0)+IF(C118=4,I118*Habitat!$L$37,0)+IF(C118=5,I118*Habitat!$M$37,0)</f>
        <v>0</v>
      </c>
      <c r="N118" s="48">
        <f>IF(C118=1,I118*Habitat!$I$38,0)+IF(C118=2,I118*Habitat!$J$38,0)+IF(C118=3,I118*Habitat!$K$38,0)+IF(C118=4,I118*Habitat!$L$38,0)+IF(C118=5,I118*Habitat!$M$38,0)</f>
        <v>0</v>
      </c>
      <c r="O118">
        <f>IF(C118=1,I118*Habitat!$I$39,0)+IF(C118=2,I118*Habitat!$J$39,0)+IF(C118=3,I118*Habitat!$K$39,0)+IF(C118=4,I118*Habitat!$L$39,0)+IF(C118=5,I118*Habitat!$M$39,0)</f>
        <v>0</v>
      </c>
    </row>
    <row r="119" spans="1:15">
      <c r="A119">
        <f t="shared" si="22"/>
        <v>108</v>
      </c>
      <c r="C119" s="5">
        <v>3</v>
      </c>
      <c r="D119" s="56">
        <f t="shared" si="19"/>
        <v>1340</v>
      </c>
      <c r="E119" s="48">
        <f t="shared" si="21"/>
        <v>565</v>
      </c>
      <c r="F119" s="3">
        <f>Habitat!$D$22*D119</f>
        <v>16.518238993710693</v>
      </c>
      <c r="G119" s="3">
        <f t="shared" si="17"/>
        <v>0</v>
      </c>
      <c r="H119" s="3">
        <f>IF(D119&lt;$C$7,0,IF(D119&gt;$C$6,0,1))</f>
        <v>0</v>
      </c>
      <c r="I119" s="47">
        <f t="shared" si="16"/>
        <v>0</v>
      </c>
      <c r="J119" s="48">
        <f>IF(C119=1,I119*Habitat!$I$36,0)+IF(C119=2,I119*Habitat!$J$36,0)+IF(C119=3,I119*Habitat!$K$36,0)+IF(C119=4,I119*Habitat!$L$36,0)+IF(C119=5,I119*Habitat!$M$36,0)</f>
        <v>0</v>
      </c>
      <c r="K119" s="48">
        <f>IF(C119=1,I119*Habitat!$I$35,0)+IF(C119=2,I119*Habitat!$J$35,0)+IF(C119=3,I119*Habitat!$K$35,0)+IF(C119=4,I119*Habitat!$L$35,0)+IF(C119=5,I119*Habitat!$M$35,0)</f>
        <v>0</v>
      </c>
      <c r="L119" s="48">
        <f>IF(C119=1,I119*Habitat!$I$34,0)+IF(C119=2,I119*Habitat!$J$34,0)+IF(C119=3,I119*Habitat!$K$34,0)+IF(C119=4,I119*Habitat!$L$34,0)+IF(C119=5,I119*Habitat!$M$34,0)</f>
        <v>0</v>
      </c>
      <c r="M119" s="48">
        <f>IF(C119=1,I119*Habitat!$I$37,0)+IF(C119=2,I119*Habitat!$J$37,0)+IF(C119=3,I119*Habitat!$K$37,0)+IF(C119=4,I119*Habitat!$L$37,0)+IF(C119=5,I119*Habitat!$M$37,0)</f>
        <v>0</v>
      </c>
      <c r="N119" s="48">
        <f>IF(C119=1,I119*Habitat!$I$38,0)+IF(C119=2,I119*Habitat!$J$38,0)+IF(C119=3,I119*Habitat!$K$38,0)+IF(C119=4,I119*Habitat!$L$38,0)+IF(C119=5,I119*Habitat!$M$38,0)</f>
        <v>0</v>
      </c>
      <c r="O119">
        <f>IF(C119=1,I119*Habitat!$I$39,0)+IF(C119=2,I119*Habitat!$J$39,0)+IF(C119=3,I119*Habitat!$K$39,0)+IF(C119=4,I119*Habitat!$L$39,0)+IF(C119=5,I119*Habitat!$M$39,0)</f>
        <v>0</v>
      </c>
    </row>
    <row r="120" spans="1:15">
      <c r="A120">
        <f t="shared" si="22"/>
        <v>109</v>
      </c>
      <c r="C120" s="5">
        <v>3</v>
      </c>
      <c r="D120" s="56">
        <f t="shared" si="19"/>
        <v>1345</v>
      </c>
      <c r="E120" s="48">
        <f t="shared" si="21"/>
        <v>570</v>
      </c>
      <c r="F120" s="3">
        <f>Habitat!$D$22*D120</f>
        <v>16.579874213836479</v>
      </c>
      <c r="G120" s="3">
        <f t="shared" si="17"/>
        <v>0</v>
      </c>
      <c r="H120" s="3">
        <f>IF(D120&lt;$C$7,0,IF(D120&gt;$C$6,0,1))</f>
        <v>0</v>
      </c>
      <c r="I120" s="47">
        <f t="shared" si="16"/>
        <v>0</v>
      </c>
      <c r="J120" s="48">
        <f>IF(C120=1,I120*Habitat!$I$36,0)+IF(C120=2,I120*Habitat!$J$36,0)+IF(C120=3,I120*Habitat!$K$36,0)+IF(C120=4,I120*Habitat!$L$36,0)+IF(C120=5,I120*Habitat!$M$36,0)</f>
        <v>0</v>
      </c>
      <c r="K120" s="48">
        <f>IF(C120=1,I120*Habitat!$I$35,0)+IF(C120=2,I120*Habitat!$J$35,0)+IF(C120=3,I120*Habitat!$K$35,0)+IF(C120=4,I120*Habitat!$L$35,0)+IF(C120=5,I120*Habitat!$M$35,0)</f>
        <v>0</v>
      </c>
      <c r="L120" s="48">
        <f>IF(C120=1,I120*Habitat!$I$34,0)+IF(C120=2,I120*Habitat!$J$34,0)+IF(C120=3,I120*Habitat!$K$34,0)+IF(C120=4,I120*Habitat!$L$34,0)+IF(C120=5,I120*Habitat!$M$34,0)</f>
        <v>0</v>
      </c>
      <c r="M120" s="48">
        <f>IF(C120=1,I120*Habitat!$I$37,0)+IF(C120=2,I120*Habitat!$J$37,0)+IF(C120=3,I120*Habitat!$K$37,0)+IF(C120=4,I120*Habitat!$L$37,0)+IF(C120=5,I120*Habitat!$M$37,0)</f>
        <v>0</v>
      </c>
      <c r="N120" s="48">
        <f>IF(C120=1,I120*Habitat!$I$38,0)+IF(C120=2,I120*Habitat!$J$38,0)+IF(C120=3,I120*Habitat!$K$38,0)+IF(C120=4,I120*Habitat!$L$38,0)+IF(C120=5,I120*Habitat!$M$38,0)</f>
        <v>0</v>
      </c>
      <c r="O120">
        <f>IF(C120=1,I120*Habitat!$I$39,0)+IF(C120=2,I120*Habitat!$J$39,0)+IF(C120=3,I120*Habitat!$K$39,0)+IF(C120=4,I120*Habitat!$L$39,0)+IF(C120=5,I120*Habitat!$M$39,0)</f>
        <v>0</v>
      </c>
    </row>
    <row r="121" spans="1:15">
      <c r="A121">
        <f t="shared" si="22"/>
        <v>110</v>
      </c>
      <c r="C121" s="5">
        <v>3</v>
      </c>
      <c r="D121" s="56">
        <f t="shared" si="19"/>
        <v>1350</v>
      </c>
      <c r="E121" s="48">
        <f t="shared" si="21"/>
        <v>575</v>
      </c>
      <c r="F121" s="3">
        <f>Habitat!$D$22*D121</f>
        <v>16.641509433962263</v>
      </c>
      <c r="G121" s="3">
        <f t="shared" si="17"/>
        <v>0</v>
      </c>
      <c r="H121" s="3">
        <f>IF(D121&lt;$C$7,0,IF(D121&gt;$C$6,0,1))</f>
        <v>0</v>
      </c>
      <c r="I121" s="47">
        <f t="shared" si="16"/>
        <v>0</v>
      </c>
      <c r="J121" s="48">
        <f>IF(C121=1,I121*Habitat!$I$36,0)+IF(C121=2,I121*Habitat!$J$36,0)+IF(C121=3,I121*Habitat!$K$36,0)+IF(C121=4,I121*Habitat!$L$36,0)+IF(C121=5,I121*Habitat!$M$36,0)</f>
        <v>0</v>
      </c>
      <c r="K121" s="48">
        <f>IF(C121=1,I121*Habitat!$I$35,0)+IF(C121=2,I121*Habitat!$J$35,0)+IF(C121=3,I121*Habitat!$K$35,0)+IF(C121=4,I121*Habitat!$L$35,0)+IF(C121=5,I121*Habitat!$M$35,0)</f>
        <v>0</v>
      </c>
      <c r="L121" s="48">
        <f>IF(C121=1,I121*Habitat!$I$34,0)+IF(C121=2,I121*Habitat!$J$34,0)+IF(C121=3,I121*Habitat!$K$34,0)+IF(C121=4,I121*Habitat!$L$34,0)+IF(C121=5,I121*Habitat!$M$34,0)</f>
        <v>0</v>
      </c>
      <c r="M121" s="48">
        <f>IF(C121=1,I121*Habitat!$I$37,0)+IF(C121=2,I121*Habitat!$J$37,0)+IF(C121=3,I121*Habitat!$K$37,0)+IF(C121=4,I121*Habitat!$L$37,0)+IF(C121=5,I121*Habitat!$M$37,0)</f>
        <v>0</v>
      </c>
      <c r="N121" s="48">
        <f>IF(C121=1,I121*Habitat!$I$38,0)+IF(C121=2,I121*Habitat!$J$38,0)+IF(C121=3,I121*Habitat!$K$38,0)+IF(C121=4,I121*Habitat!$L$38,0)+IF(C121=5,I121*Habitat!$M$38,0)</f>
        <v>0</v>
      </c>
      <c r="O121">
        <f>IF(C121=1,I121*Habitat!$I$39,0)+IF(C121=2,I121*Habitat!$J$39,0)+IF(C121=3,I121*Habitat!$K$39,0)+IF(C121=4,I121*Habitat!$L$39,0)+IF(C121=5,I121*Habitat!$M$39,0)</f>
        <v>0</v>
      </c>
    </row>
    <row r="122" spans="1:15">
      <c r="A122">
        <f t="shared" si="22"/>
        <v>111</v>
      </c>
      <c r="C122" s="5">
        <v>3</v>
      </c>
      <c r="D122" s="56">
        <f t="shared" si="19"/>
        <v>1355</v>
      </c>
      <c r="E122" s="48">
        <f t="shared" si="21"/>
        <v>580</v>
      </c>
      <c r="F122" s="3">
        <f>Habitat!$D$22*D122</f>
        <v>16.703144654088049</v>
      </c>
      <c r="G122" s="3">
        <f t="shared" si="17"/>
        <v>0</v>
      </c>
      <c r="H122" s="3">
        <f>IF(D122&lt;$C$7,0,IF(D122&gt;$C$6,0,1))</f>
        <v>0</v>
      </c>
      <c r="I122" s="47">
        <f t="shared" si="16"/>
        <v>0</v>
      </c>
      <c r="J122" s="48">
        <f>IF(C122=1,I122*Habitat!$I$36,0)+IF(C122=2,I122*Habitat!$J$36,0)+IF(C122=3,I122*Habitat!$K$36,0)+IF(C122=4,I122*Habitat!$L$36,0)+IF(C122=5,I122*Habitat!$M$36,0)</f>
        <v>0</v>
      </c>
      <c r="K122" s="48">
        <f>IF(C122=1,I122*Habitat!$I$35,0)+IF(C122=2,I122*Habitat!$J$35,0)+IF(C122=3,I122*Habitat!$K$35,0)+IF(C122=4,I122*Habitat!$L$35,0)+IF(C122=5,I122*Habitat!$M$35,0)</f>
        <v>0</v>
      </c>
      <c r="L122" s="48">
        <f>IF(C122=1,I122*Habitat!$I$34,0)+IF(C122=2,I122*Habitat!$J$34,0)+IF(C122=3,I122*Habitat!$K$34,0)+IF(C122=4,I122*Habitat!$L$34,0)+IF(C122=5,I122*Habitat!$M$34,0)</f>
        <v>0</v>
      </c>
      <c r="M122" s="48">
        <f>IF(C122=1,I122*Habitat!$I$37,0)+IF(C122=2,I122*Habitat!$J$37,0)+IF(C122=3,I122*Habitat!$K$37,0)+IF(C122=4,I122*Habitat!$L$37,0)+IF(C122=5,I122*Habitat!$M$37,0)</f>
        <v>0</v>
      </c>
      <c r="N122" s="48">
        <f>IF(C122=1,I122*Habitat!$I$38,0)+IF(C122=2,I122*Habitat!$J$38,0)+IF(C122=3,I122*Habitat!$K$38,0)+IF(C122=4,I122*Habitat!$L$38,0)+IF(C122=5,I122*Habitat!$M$38,0)</f>
        <v>0</v>
      </c>
      <c r="O122">
        <f>IF(C122=1,I122*Habitat!$I$39,0)+IF(C122=2,I122*Habitat!$J$39,0)+IF(C122=3,I122*Habitat!$K$39,0)+IF(C122=4,I122*Habitat!$L$39,0)+IF(C122=5,I122*Habitat!$M$39,0)</f>
        <v>0</v>
      </c>
    </row>
    <row r="123" spans="1:15">
      <c r="A123">
        <f t="shared" si="22"/>
        <v>112</v>
      </c>
      <c r="C123" s="5">
        <v>3</v>
      </c>
      <c r="D123" s="56">
        <f t="shared" si="19"/>
        <v>1360</v>
      </c>
      <c r="E123" s="48">
        <f t="shared" si="21"/>
        <v>585</v>
      </c>
      <c r="F123" s="3">
        <f>Habitat!$D$22*D123</f>
        <v>16.764779874213836</v>
      </c>
      <c r="G123" s="3">
        <f t="shared" si="17"/>
        <v>0</v>
      </c>
      <c r="H123" s="3">
        <f>IF(D123&lt;$C$7,0,IF(D123&gt;$C$6,0,1))</f>
        <v>0</v>
      </c>
      <c r="I123" s="47">
        <f t="shared" si="16"/>
        <v>0</v>
      </c>
      <c r="J123" s="48">
        <f>IF(C123=1,I123*Habitat!$I$36,0)+IF(C123=2,I123*Habitat!$J$36,0)+IF(C123=3,I123*Habitat!$K$36,0)+IF(C123=4,I123*Habitat!$L$36,0)+IF(C123=5,I123*Habitat!$M$36,0)</f>
        <v>0</v>
      </c>
      <c r="K123" s="48">
        <f>IF(C123=1,I123*Habitat!$I$35,0)+IF(C123=2,I123*Habitat!$J$35,0)+IF(C123=3,I123*Habitat!$K$35,0)+IF(C123=4,I123*Habitat!$L$35,0)+IF(C123=5,I123*Habitat!$M$35,0)</f>
        <v>0</v>
      </c>
      <c r="L123" s="48">
        <f>IF(C123=1,I123*Habitat!$I$34,0)+IF(C123=2,I123*Habitat!$J$34,0)+IF(C123=3,I123*Habitat!$K$34,0)+IF(C123=4,I123*Habitat!$L$34,0)+IF(C123=5,I123*Habitat!$M$34,0)</f>
        <v>0</v>
      </c>
      <c r="M123" s="48">
        <f>IF(C123=1,I123*Habitat!$I$37,0)+IF(C123=2,I123*Habitat!$J$37,0)+IF(C123=3,I123*Habitat!$K$37,0)+IF(C123=4,I123*Habitat!$L$37,0)+IF(C123=5,I123*Habitat!$M$37,0)</f>
        <v>0</v>
      </c>
      <c r="N123" s="48">
        <f>IF(C123=1,I123*Habitat!$I$38,0)+IF(C123=2,I123*Habitat!$J$38,0)+IF(C123=3,I123*Habitat!$K$38,0)+IF(C123=4,I123*Habitat!$L$38,0)+IF(C123=5,I123*Habitat!$M$38,0)</f>
        <v>0</v>
      </c>
      <c r="O123">
        <f>IF(C123=1,I123*Habitat!$I$39,0)+IF(C123=2,I123*Habitat!$J$39,0)+IF(C123=3,I123*Habitat!$K$39,0)+IF(C123=4,I123*Habitat!$L$39,0)+IF(C123=5,I123*Habitat!$M$39,0)</f>
        <v>0</v>
      </c>
    </row>
    <row r="124" spans="1:15">
      <c r="A124">
        <f t="shared" si="22"/>
        <v>113</v>
      </c>
      <c r="C124" s="5">
        <v>3</v>
      </c>
      <c r="D124" s="56">
        <f t="shared" si="19"/>
        <v>1365</v>
      </c>
      <c r="E124" s="48">
        <f t="shared" si="21"/>
        <v>590</v>
      </c>
      <c r="F124" s="3">
        <f>Habitat!$D$22*D124</f>
        <v>16.826415094339623</v>
      </c>
      <c r="G124" s="3">
        <f t="shared" si="17"/>
        <v>0</v>
      </c>
      <c r="H124" s="3">
        <f>IF(D124&lt;$C$7,0,IF(D124&gt;$C$6,0,1))</f>
        <v>0</v>
      </c>
      <c r="I124" s="47">
        <f t="shared" si="16"/>
        <v>0</v>
      </c>
      <c r="J124" s="48">
        <f>IF(C124=1,I124*Habitat!$I$36,0)+IF(C124=2,I124*Habitat!$J$36,0)+IF(C124=3,I124*Habitat!$K$36,0)+IF(C124=4,I124*Habitat!$L$36,0)+IF(C124=5,I124*Habitat!$M$36,0)</f>
        <v>0</v>
      </c>
      <c r="K124" s="48">
        <f>IF(C124=1,I124*Habitat!$I$35,0)+IF(C124=2,I124*Habitat!$J$35,0)+IF(C124=3,I124*Habitat!$K$35,0)+IF(C124=4,I124*Habitat!$L$35,0)+IF(C124=5,I124*Habitat!$M$35,0)</f>
        <v>0</v>
      </c>
      <c r="L124" s="48">
        <f>IF(C124=1,I124*Habitat!$I$34,0)+IF(C124=2,I124*Habitat!$J$34,0)+IF(C124=3,I124*Habitat!$K$34,0)+IF(C124=4,I124*Habitat!$L$34,0)+IF(C124=5,I124*Habitat!$M$34,0)</f>
        <v>0</v>
      </c>
      <c r="M124" s="48">
        <f>IF(C124=1,I124*Habitat!$I$37,0)+IF(C124=2,I124*Habitat!$J$37,0)+IF(C124=3,I124*Habitat!$K$37,0)+IF(C124=4,I124*Habitat!$L$37,0)+IF(C124=5,I124*Habitat!$M$37,0)</f>
        <v>0</v>
      </c>
      <c r="N124" s="48">
        <f>IF(C124=1,I124*Habitat!$I$38,0)+IF(C124=2,I124*Habitat!$J$38,0)+IF(C124=3,I124*Habitat!$K$38,0)+IF(C124=4,I124*Habitat!$L$38,0)+IF(C124=5,I124*Habitat!$M$38,0)</f>
        <v>0</v>
      </c>
      <c r="O124">
        <f>IF(C124=1,I124*Habitat!$I$39,0)+IF(C124=2,I124*Habitat!$J$39,0)+IF(C124=3,I124*Habitat!$K$39,0)+IF(C124=4,I124*Habitat!$L$39,0)+IF(C124=5,I124*Habitat!$M$39,0)</f>
        <v>0</v>
      </c>
    </row>
    <row r="125" spans="1:15">
      <c r="A125">
        <f t="shared" si="22"/>
        <v>114</v>
      </c>
      <c r="C125" s="5">
        <v>3</v>
      </c>
      <c r="D125" s="56">
        <f t="shared" si="19"/>
        <v>1370</v>
      </c>
      <c r="E125" s="48">
        <f t="shared" si="21"/>
        <v>595</v>
      </c>
      <c r="F125" s="3">
        <f>Habitat!$D$22*D125</f>
        <v>16.88805031446541</v>
      </c>
      <c r="G125" s="3">
        <f t="shared" si="17"/>
        <v>0</v>
      </c>
      <c r="H125" s="3">
        <f>IF(D125&lt;$C$7,0,IF(D125&gt;$C$6,0,1))</f>
        <v>0</v>
      </c>
      <c r="I125" s="47">
        <f t="shared" si="16"/>
        <v>0</v>
      </c>
      <c r="J125" s="48">
        <f>IF(C125=1,I125*Habitat!$I$36,0)+IF(C125=2,I125*Habitat!$J$36,0)+IF(C125=3,I125*Habitat!$K$36,0)+IF(C125=4,I125*Habitat!$L$36,0)+IF(C125=5,I125*Habitat!$M$36,0)</f>
        <v>0</v>
      </c>
      <c r="K125" s="48">
        <f>IF(C125=1,I125*Habitat!$I$35,0)+IF(C125=2,I125*Habitat!$J$35,0)+IF(C125=3,I125*Habitat!$K$35,0)+IF(C125=4,I125*Habitat!$L$35,0)+IF(C125=5,I125*Habitat!$M$35,0)</f>
        <v>0</v>
      </c>
      <c r="L125" s="48">
        <f>IF(C125=1,I125*Habitat!$I$34,0)+IF(C125=2,I125*Habitat!$J$34,0)+IF(C125=3,I125*Habitat!$K$34,0)+IF(C125=4,I125*Habitat!$L$34,0)+IF(C125=5,I125*Habitat!$M$34,0)</f>
        <v>0</v>
      </c>
      <c r="M125" s="48">
        <f>IF(C125=1,I125*Habitat!$I$37,0)+IF(C125=2,I125*Habitat!$J$37,0)+IF(C125=3,I125*Habitat!$K$37,0)+IF(C125=4,I125*Habitat!$L$37,0)+IF(C125=5,I125*Habitat!$M$37,0)</f>
        <v>0</v>
      </c>
      <c r="N125" s="48">
        <f>IF(C125=1,I125*Habitat!$I$38,0)+IF(C125=2,I125*Habitat!$J$38,0)+IF(C125=3,I125*Habitat!$K$38,0)+IF(C125=4,I125*Habitat!$L$38,0)+IF(C125=5,I125*Habitat!$M$38,0)</f>
        <v>0</v>
      </c>
      <c r="O125">
        <f>IF(C125=1,I125*Habitat!$I$39,0)+IF(C125=2,I125*Habitat!$J$39,0)+IF(C125=3,I125*Habitat!$K$39,0)+IF(C125=4,I125*Habitat!$L$39,0)+IF(C125=5,I125*Habitat!$M$39,0)</f>
        <v>0</v>
      </c>
    </row>
    <row r="126" spans="1:15">
      <c r="A126">
        <f t="shared" si="22"/>
        <v>115</v>
      </c>
      <c r="C126" s="5">
        <v>3</v>
      </c>
      <c r="D126" s="56">
        <f t="shared" si="19"/>
        <v>1375</v>
      </c>
      <c r="E126" s="48">
        <f t="shared" si="21"/>
        <v>600</v>
      </c>
      <c r="F126" s="3">
        <f>Habitat!$D$22*D126</f>
        <v>16.949685534591197</v>
      </c>
      <c r="G126" s="3">
        <f t="shared" si="17"/>
        <v>0</v>
      </c>
      <c r="H126" s="3">
        <f>IF(D126&lt;$C$7,0,IF(D126&gt;$C$6,0,1))</f>
        <v>0</v>
      </c>
      <c r="I126" s="47">
        <f t="shared" si="16"/>
        <v>0</v>
      </c>
      <c r="J126" s="48">
        <f>IF(C126=1,I126*Habitat!$I$36,0)+IF(C126=2,I126*Habitat!$J$36,0)+IF(C126=3,I126*Habitat!$K$36,0)+IF(C126=4,I126*Habitat!$L$36,0)+IF(C126=5,I126*Habitat!$M$36,0)</f>
        <v>0</v>
      </c>
      <c r="K126" s="48">
        <f>IF(C126=1,I126*Habitat!$I$35,0)+IF(C126=2,I126*Habitat!$J$35,0)+IF(C126=3,I126*Habitat!$K$35,0)+IF(C126=4,I126*Habitat!$L$35,0)+IF(C126=5,I126*Habitat!$M$35,0)</f>
        <v>0</v>
      </c>
      <c r="L126" s="48">
        <f>IF(C126=1,I126*Habitat!$I$34,0)+IF(C126=2,I126*Habitat!$J$34,0)+IF(C126=3,I126*Habitat!$K$34,0)+IF(C126=4,I126*Habitat!$L$34,0)+IF(C126=5,I126*Habitat!$M$34,0)</f>
        <v>0</v>
      </c>
      <c r="M126" s="48">
        <f>IF(C126=1,I126*Habitat!$I$37,0)+IF(C126=2,I126*Habitat!$J$37,0)+IF(C126=3,I126*Habitat!$K$37,0)+IF(C126=4,I126*Habitat!$L$37,0)+IF(C126=5,I126*Habitat!$M$37,0)</f>
        <v>0</v>
      </c>
      <c r="N126" s="48">
        <f>IF(C126=1,I126*Habitat!$I$38,0)+IF(C126=2,I126*Habitat!$J$38,0)+IF(C126=3,I126*Habitat!$K$38,0)+IF(C126=4,I126*Habitat!$L$38,0)+IF(C126=5,I126*Habitat!$M$38,0)</f>
        <v>0</v>
      </c>
      <c r="O126">
        <f>IF(C126=1,I126*Habitat!$I$39,0)+IF(C126=2,I126*Habitat!$J$39,0)+IF(C126=3,I126*Habitat!$K$39,0)+IF(C126=4,I126*Habitat!$L$39,0)+IF(C126=5,I126*Habitat!$M$39,0)</f>
        <v>0</v>
      </c>
    </row>
    <row r="127" spans="1:15">
      <c r="A127">
        <f t="shared" si="22"/>
        <v>116</v>
      </c>
      <c r="C127" s="5">
        <v>3</v>
      </c>
      <c r="D127" s="56">
        <f t="shared" si="19"/>
        <v>1380</v>
      </c>
      <c r="E127" s="48">
        <f t="shared" si="21"/>
        <v>605</v>
      </c>
      <c r="F127" s="3">
        <f>Habitat!$D$22*D127</f>
        <v>17.01132075471698</v>
      </c>
      <c r="G127" s="3">
        <f t="shared" si="17"/>
        <v>0</v>
      </c>
      <c r="H127" s="3">
        <f>IF(D127&lt;$C$7,0,IF(D127&gt;$C$6,0,1))</f>
        <v>0</v>
      </c>
      <c r="I127" s="47">
        <f t="shared" ref="I127:I190" si="23">PI()*D127*D127*$C$9*H127</f>
        <v>0</v>
      </c>
      <c r="J127" s="48">
        <f>IF(C127=1,I127*Habitat!$I$36,0)+IF(C127=2,I127*Habitat!$J$36,0)+IF(C127=3,I127*Habitat!$K$36,0)+IF(C127=4,I127*Habitat!$L$36,0)+IF(C127=5,I127*Habitat!$M$36,0)</f>
        <v>0</v>
      </c>
      <c r="K127" s="48">
        <f>IF(C127=1,I127*Habitat!$I$35,0)+IF(C127=2,I127*Habitat!$J$35,0)+IF(C127=3,I127*Habitat!$K$35,0)+IF(C127=4,I127*Habitat!$L$35,0)+IF(C127=5,I127*Habitat!$M$35,0)</f>
        <v>0</v>
      </c>
      <c r="L127" s="48">
        <f>IF(C127=1,I127*Habitat!$I$34,0)+IF(C127=2,I127*Habitat!$J$34,0)+IF(C127=3,I127*Habitat!$K$34,0)+IF(C127=4,I127*Habitat!$L$34,0)+IF(C127=5,I127*Habitat!$M$34,0)</f>
        <v>0</v>
      </c>
      <c r="M127" s="48">
        <f>IF(C127=1,I127*Habitat!$I$37,0)+IF(C127=2,I127*Habitat!$J$37,0)+IF(C127=3,I127*Habitat!$K$37,0)+IF(C127=4,I127*Habitat!$L$37,0)+IF(C127=5,I127*Habitat!$M$37,0)</f>
        <v>0</v>
      </c>
      <c r="N127" s="48">
        <f>IF(C127=1,I127*Habitat!$I$38,0)+IF(C127=2,I127*Habitat!$J$38,0)+IF(C127=3,I127*Habitat!$K$38,0)+IF(C127=4,I127*Habitat!$L$38,0)+IF(C127=5,I127*Habitat!$M$38,0)</f>
        <v>0</v>
      </c>
      <c r="O127">
        <f>IF(C127=1,I127*Habitat!$I$39,0)+IF(C127=2,I127*Habitat!$J$39,0)+IF(C127=3,I127*Habitat!$K$39,0)+IF(C127=4,I127*Habitat!$L$39,0)+IF(C127=5,I127*Habitat!$M$39,0)</f>
        <v>0</v>
      </c>
    </row>
    <row r="128" spans="1:15">
      <c r="A128">
        <f t="shared" si="22"/>
        <v>117</v>
      </c>
      <c r="C128" s="5">
        <v>3</v>
      </c>
      <c r="D128" s="56">
        <f t="shared" si="19"/>
        <v>1385</v>
      </c>
      <c r="E128" s="48">
        <f t="shared" si="21"/>
        <v>610</v>
      </c>
      <c r="F128" s="3">
        <f>Habitat!$D$22*D128</f>
        <v>17.072955974842767</v>
      </c>
      <c r="G128" s="3">
        <f t="shared" si="17"/>
        <v>0</v>
      </c>
      <c r="H128" s="3">
        <f>IF(D128&lt;$C$7,0,IF(D128&gt;$C$6,0,1))</f>
        <v>0</v>
      </c>
      <c r="I128" s="47">
        <f t="shared" si="23"/>
        <v>0</v>
      </c>
      <c r="J128" s="48">
        <f>IF(C128=1,I128*Habitat!$I$36,0)+IF(C128=2,I128*Habitat!$J$36,0)+IF(C128=3,I128*Habitat!$K$36,0)+IF(C128=4,I128*Habitat!$L$36,0)+IF(C128=5,I128*Habitat!$M$36,0)</f>
        <v>0</v>
      </c>
      <c r="K128" s="48">
        <f>IF(C128=1,I128*Habitat!$I$35,0)+IF(C128=2,I128*Habitat!$J$35,0)+IF(C128=3,I128*Habitat!$K$35,0)+IF(C128=4,I128*Habitat!$L$35,0)+IF(C128=5,I128*Habitat!$M$35,0)</f>
        <v>0</v>
      </c>
      <c r="L128" s="48">
        <f>IF(C128=1,I128*Habitat!$I$34,0)+IF(C128=2,I128*Habitat!$J$34,0)+IF(C128=3,I128*Habitat!$K$34,0)+IF(C128=4,I128*Habitat!$L$34,0)+IF(C128=5,I128*Habitat!$M$34,0)</f>
        <v>0</v>
      </c>
      <c r="M128" s="48">
        <f>IF(C128=1,I128*Habitat!$I$37,0)+IF(C128=2,I128*Habitat!$J$37,0)+IF(C128=3,I128*Habitat!$K$37,0)+IF(C128=4,I128*Habitat!$L$37,0)+IF(C128=5,I128*Habitat!$M$37,0)</f>
        <v>0</v>
      </c>
      <c r="N128" s="48">
        <f>IF(C128=1,I128*Habitat!$I$38,0)+IF(C128=2,I128*Habitat!$J$38,0)+IF(C128=3,I128*Habitat!$K$38,0)+IF(C128=4,I128*Habitat!$L$38,0)+IF(C128=5,I128*Habitat!$M$38,0)</f>
        <v>0</v>
      </c>
      <c r="O128">
        <f>IF(C128=1,I128*Habitat!$I$39,0)+IF(C128=2,I128*Habitat!$J$39,0)+IF(C128=3,I128*Habitat!$K$39,0)+IF(C128=4,I128*Habitat!$L$39,0)+IF(C128=5,I128*Habitat!$M$39,0)</f>
        <v>0</v>
      </c>
    </row>
    <row r="129" spans="1:15">
      <c r="A129">
        <f t="shared" si="22"/>
        <v>118</v>
      </c>
      <c r="C129" s="5">
        <v>3</v>
      </c>
      <c r="D129" s="56">
        <f t="shared" si="19"/>
        <v>1390</v>
      </c>
      <c r="E129" s="48">
        <f t="shared" si="21"/>
        <v>615</v>
      </c>
      <c r="F129" s="3">
        <f>Habitat!$D$22*D129</f>
        <v>17.134591194968554</v>
      </c>
      <c r="G129" s="3">
        <f t="shared" si="17"/>
        <v>0</v>
      </c>
      <c r="H129" s="3">
        <f>IF(D129&lt;$C$7,0,IF(D129&gt;$C$6,0,1))</f>
        <v>0</v>
      </c>
      <c r="I129" s="47">
        <f t="shared" si="23"/>
        <v>0</v>
      </c>
      <c r="J129" s="48">
        <f>IF(C129=1,I129*Habitat!$I$36,0)+IF(C129=2,I129*Habitat!$J$36,0)+IF(C129=3,I129*Habitat!$K$36,0)+IF(C129=4,I129*Habitat!$L$36,0)+IF(C129=5,I129*Habitat!$M$36,0)</f>
        <v>0</v>
      </c>
      <c r="K129" s="48">
        <f>IF(C129=1,I129*Habitat!$I$35,0)+IF(C129=2,I129*Habitat!$J$35,0)+IF(C129=3,I129*Habitat!$K$35,0)+IF(C129=4,I129*Habitat!$L$35,0)+IF(C129=5,I129*Habitat!$M$35,0)</f>
        <v>0</v>
      </c>
      <c r="L129" s="48">
        <f>IF(C129=1,I129*Habitat!$I$34,0)+IF(C129=2,I129*Habitat!$J$34,0)+IF(C129=3,I129*Habitat!$K$34,0)+IF(C129=4,I129*Habitat!$L$34,0)+IF(C129=5,I129*Habitat!$M$34,0)</f>
        <v>0</v>
      </c>
      <c r="M129" s="48">
        <f>IF(C129=1,I129*Habitat!$I$37,0)+IF(C129=2,I129*Habitat!$J$37,0)+IF(C129=3,I129*Habitat!$K$37,0)+IF(C129=4,I129*Habitat!$L$37,0)+IF(C129=5,I129*Habitat!$M$37,0)</f>
        <v>0</v>
      </c>
      <c r="N129" s="48">
        <f>IF(C129=1,I129*Habitat!$I$38,0)+IF(C129=2,I129*Habitat!$J$38,0)+IF(C129=3,I129*Habitat!$K$38,0)+IF(C129=4,I129*Habitat!$L$38,0)+IF(C129=5,I129*Habitat!$M$38,0)</f>
        <v>0</v>
      </c>
      <c r="O129">
        <f>IF(C129=1,I129*Habitat!$I$39,0)+IF(C129=2,I129*Habitat!$J$39,0)+IF(C129=3,I129*Habitat!$K$39,0)+IF(C129=4,I129*Habitat!$L$39,0)+IF(C129=5,I129*Habitat!$M$39,0)</f>
        <v>0</v>
      </c>
    </row>
    <row r="130" spans="1:15">
      <c r="A130">
        <f t="shared" ref="A130:A138" si="24">A129+1</f>
        <v>119</v>
      </c>
      <c r="C130" s="5">
        <v>3</v>
      </c>
      <c r="D130" s="56">
        <f t="shared" si="19"/>
        <v>1395</v>
      </c>
      <c r="E130" s="48">
        <f t="shared" si="21"/>
        <v>620</v>
      </c>
      <c r="F130" s="3">
        <f>Habitat!$D$22*D130</f>
        <v>17.19622641509434</v>
      </c>
      <c r="G130" s="3">
        <f t="shared" si="17"/>
        <v>0</v>
      </c>
      <c r="H130" s="3">
        <f>IF(D130&lt;$C$7,0,IF(D130&gt;$C$6,0,1))</f>
        <v>0</v>
      </c>
      <c r="I130" s="47">
        <f t="shared" si="23"/>
        <v>0</v>
      </c>
      <c r="J130" s="48">
        <f>IF(C130=1,I130*Habitat!$I$36,0)+IF(C130=2,I130*Habitat!$J$36,0)+IF(C130=3,I130*Habitat!$K$36,0)+IF(C130=4,I130*Habitat!$L$36,0)+IF(C130=5,I130*Habitat!$M$36,0)</f>
        <v>0</v>
      </c>
      <c r="K130" s="48">
        <f>IF(C130=1,I130*Habitat!$I$35,0)+IF(C130=2,I130*Habitat!$J$35,0)+IF(C130=3,I130*Habitat!$K$35,0)+IF(C130=4,I130*Habitat!$L$35,0)+IF(C130=5,I130*Habitat!$M$35,0)</f>
        <v>0</v>
      </c>
      <c r="L130" s="48">
        <f>IF(C130=1,I130*Habitat!$I$34,0)+IF(C130=2,I130*Habitat!$J$34,0)+IF(C130=3,I130*Habitat!$K$34,0)+IF(C130=4,I130*Habitat!$L$34,0)+IF(C130=5,I130*Habitat!$M$34,0)</f>
        <v>0</v>
      </c>
      <c r="M130" s="48">
        <f>IF(C130=1,I130*Habitat!$I$37,0)+IF(C130=2,I130*Habitat!$J$37,0)+IF(C130=3,I130*Habitat!$K$37,0)+IF(C130=4,I130*Habitat!$L$37,0)+IF(C130=5,I130*Habitat!$M$37,0)</f>
        <v>0</v>
      </c>
      <c r="N130" s="48">
        <f>IF(C130=1,I130*Habitat!$I$38,0)+IF(C130=2,I130*Habitat!$J$38,0)+IF(C130=3,I130*Habitat!$K$38,0)+IF(C130=4,I130*Habitat!$L$38,0)+IF(C130=5,I130*Habitat!$M$38,0)</f>
        <v>0</v>
      </c>
      <c r="O130">
        <f>IF(C130=1,I130*Habitat!$I$39,0)+IF(C130=2,I130*Habitat!$J$39,0)+IF(C130=3,I130*Habitat!$K$39,0)+IF(C130=4,I130*Habitat!$L$39,0)+IF(C130=5,I130*Habitat!$M$39,0)</f>
        <v>0</v>
      </c>
    </row>
    <row r="131" spans="1:15">
      <c r="A131">
        <f t="shared" si="24"/>
        <v>120</v>
      </c>
      <c r="C131" s="5">
        <v>3</v>
      </c>
      <c r="D131" s="56">
        <f t="shared" si="19"/>
        <v>1400</v>
      </c>
      <c r="E131" s="48">
        <f t="shared" si="21"/>
        <v>625</v>
      </c>
      <c r="F131" s="3">
        <f>Habitat!$D$22*D131</f>
        <v>17.257861635220127</v>
      </c>
      <c r="G131" s="3">
        <f t="shared" si="17"/>
        <v>0</v>
      </c>
      <c r="H131" s="3">
        <f>IF(D131&lt;$C$7,0,IF(D131&gt;$C$6,0,1))</f>
        <v>0</v>
      </c>
      <c r="I131" s="47">
        <f t="shared" si="23"/>
        <v>0</v>
      </c>
      <c r="J131" s="48">
        <f>IF(C131=1,I131*Habitat!$I$36,0)+IF(C131=2,I131*Habitat!$J$36,0)+IF(C131=3,I131*Habitat!$K$36,0)+IF(C131=4,I131*Habitat!$L$36,0)+IF(C131=5,I131*Habitat!$M$36,0)</f>
        <v>0</v>
      </c>
      <c r="K131" s="48">
        <f>IF(C131=1,I131*Habitat!$I$35,0)+IF(C131=2,I131*Habitat!$J$35,0)+IF(C131=3,I131*Habitat!$K$35,0)+IF(C131=4,I131*Habitat!$L$35,0)+IF(C131=5,I131*Habitat!$M$35,0)</f>
        <v>0</v>
      </c>
      <c r="L131" s="48">
        <f>IF(C131=1,I131*Habitat!$I$34,0)+IF(C131=2,I131*Habitat!$J$34,0)+IF(C131=3,I131*Habitat!$K$34,0)+IF(C131=4,I131*Habitat!$L$34,0)+IF(C131=5,I131*Habitat!$M$34,0)</f>
        <v>0</v>
      </c>
      <c r="M131" s="48">
        <f>IF(C131=1,I131*Habitat!$I$37,0)+IF(C131=2,I131*Habitat!$J$37,0)+IF(C131=3,I131*Habitat!$K$37,0)+IF(C131=4,I131*Habitat!$L$37,0)+IF(C131=5,I131*Habitat!$M$37,0)</f>
        <v>0</v>
      </c>
      <c r="N131" s="48">
        <f>IF(C131=1,I131*Habitat!$I$38,0)+IF(C131=2,I131*Habitat!$J$38,0)+IF(C131=3,I131*Habitat!$K$38,0)+IF(C131=4,I131*Habitat!$L$38,0)+IF(C131=5,I131*Habitat!$M$38,0)</f>
        <v>0</v>
      </c>
      <c r="O131">
        <f>IF(C131=1,I131*Habitat!$I$39,0)+IF(C131=2,I131*Habitat!$J$39,0)+IF(C131=3,I131*Habitat!$K$39,0)+IF(C131=4,I131*Habitat!$L$39,0)+IF(C131=5,I131*Habitat!$M$39,0)</f>
        <v>0</v>
      </c>
    </row>
    <row r="132" spans="1:15">
      <c r="A132">
        <f t="shared" si="24"/>
        <v>121</v>
      </c>
      <c r="C132" s="5">
        <v>3</v>
      </c>
      <c r="D132" s="56">
        <f t="shared" si="19"/>
        <v>1405</v>
      </c>
      <c r="E132" s="48">
        <f t="shared" si="21"/>
        <v>630</v>
      </c>
      <c r="F132" s="3">
        <f>Habitat!$D$22*D132</f>
        <v>17.319496855345911</v>
      </c>
      <c r="G132" s="3">
        <f t="shared" si="17"/>
        <v>0</v>
      </c>
      <c r="H132" s="3">
        <f>IF(D132&lt;$C$7,0,IF(D132&gt;$C$6,0,1))</f>
        <v>0</v>
      </c>
      <c r="I132" s="47">
        <f t="shared" si="23"/>
        <v>0</v>
      </c>
      <c r="J132" s="48">
        <f>IF(C132=1,I132*Habitat!$I$36,0)+IF(C132=2,I132*Habitat!$J$36,0)+IF(C132=3,I132*Habitat!$K$36,0)+IF(C132=4,I132*Habitat!$L$36,0)+IF(C132=5,I132*Habitat!$M$36,0)</f>
        <v>0</v>
      </c>
      <c r="K132" s="48">
        <f>IF(C132=1,I132*Habitat!$I$35,0)+IF(C132=2,I132*Habitat!$J$35,0)+IF(C132=3,I132*Habitat!$K$35,0)+IF(C132=4,I132*Habitat!$L$35,0)+IF(C132=5,I132*Habitat!$M$35,0)</f>
        <v>0</v>
      </c>
      <c r="L132" s="48">
        <f>IF(C132=1,I132*Habitat!$I$34,0)+IF(C132=2,I132*Habitat!$J$34,0)+IF(C132=3,I132*Habitat!$K$34,0)+IF(C132=4,I132*Habitat!$L$34,0)+IF(C132=5,I132*Habitat!$M$34,0)</f>
        <v>0</v>
      </c>
      <c r="M132" s="48">
        <f>IF(C132=1,I132*Habitat!$I$37,0)+IF(C132=2,I132*Habitat!$J$37,0)+IF(C132=3,I132*Habitat!$K$37,0)+IF(C132=4,I132*Habitat!$L$37,0)+IF(C132=5,I132*Habitat!$M$37,0)</f>
        <v>0</v>
      </c>
      <c r="N132" s="48">
        <f>IF(C132=1,I132*Habitat!$I$38,0)+IF(C132=2,I132*Habitat!$J$38,0)+IF(C132=3,I132*Habitat!$K$38,0)+IF(C132=4,I132*Habitat!$L$38,0)+IF(C132=5,I132*Habitat!$M$38,0)</f>
        <v>0</v>
      </c>
      <c r="O132">
        <f>IF(C132=1,I132*Habitat!$I$39,0)+IF(C132=2,I132*Habitat!$J$39,0)+IF(C132=3,I132*Habitat!$K$39,0)+IF(C132=4,I132*Habitat!$L$39,0)+IF(C132=5,I132*Habitat!$M$39,0)</f>
        <v>0</v>
      </c>
    </row>
    <row r="133" spans="1:15">
      <c r="A133">
        <f t="shared" si="24"/>
        <v>122</v>
      </c>
      <c r="C133" s="5">
        <v>3</v>
      </c>
      <c r="D133" s="56">
        <f t="shared" si="19"/>
        <v>1410</v>
      </c>
      <c r="E133" s="48">
        <f t="shared" si="21"/>
        <v>635</v>
      </c>
      <c r="F133" s="3">
        <f>Habitat!$D$22*D133</f>
        <v>17.381132075471697</v>
      </c>
      <c r="G133" s="3">
        <f t="shared" si="17"/>
        <v>0</v>
      </c>
      <c r="H133" s="3">
        <f>IF(D133&lt;$C$7,0,IF(D133&gt;$C$6,0,1))</f>
        <v>0</v>
      </c>
      <c r="I133" s="47">
        <f t="shared" si="23"/>
        <v>0</v>
      </c>
      <c r="J133" s="48">
        <f>IF(C133=1,I133*Habitat!$I$36,0)+IF(C133=2,I133*Habitat!$J$36,0)+IF(C133=3,I133*Habitat!$K$36,0)+IF(C133=4,I133*Habitat!$L$36,0)+IF(C133=5,I133*Habitat!$M$36,0)</f>
        <v>0</v>
      </c>
      <c r="K133" s="48">
        <f>IF(C133=1,I133*Habitat!$I$35,0)+IF(C133=2,I133*Habitat!$J$35,0)+IF(C133=3,I133*Habitat!$K$35,0)+IF(C133=4,I133*Habitat!$L$35,0)+IF(C133=5,I133*Habitat!$M$35,0)</f>
        <v>0</v>
      </c>
      <c r="L133" s="48">
        <f>IF(C133=1,I133*Habitat!$I$34,0)+IF(C133=2,I133*Habitat!$J$34,0)+IF(C133=3,I133*Habitat!$K$34,0)+IF(C133=4,I133*Habitat!$L$34,0)+IF(C133=5,I133*Habitat!$M$34,0)</f>
        <v>0</v>
      </c>
      <c r="M133" s="48">
        <f>IF(C133=1,I133*Habitat!$I$37,0)+IF(C133=2,I133*Habitat!$J$37,0)+IF(C133=3,I133*Habitat!$K$37,0)+IF(C133=4,I133*Habitat!$L$37,0)+IF(C133=5,I133*Habitat!$M$37,0)</f>
        <v>0</v>
      </c>
      <c r="N133" s="48">
        <f>IF(C133=1,I133*Habitat!$I$38,0)+IF(C133=2,I133*Habitat!$J$38,0)+IF(C133=3,I133*Habitat!$K$38,0)+IF(C133=4,I133*Habitat!$L$38,0)+IF(C133=5,I133*Habitat!$M$38,0)</f>
        <v>0</v>
      </c>
      <c r="O133">
        <f>IF(C133=1,I133*Habitat!$I$39,0)+IF(C133=2,I133*Habitat!$J$39,0)+IF(C133=3,I133*Habitat!$K$39,0)+IF(C133=4,I133*Habitat!$L$39,0)+IF(C133=5,I133*Habitat!$M$39,0)</f>
        <v>0</v>
      </c>
    </row>
    <row r="134" spans="1:15">
      <c r="A134">
        <f t="shared" si="24"/>
        <v>123</v>
      </c>
      <c r="C134" s="5">
        <v>3</v>
      </c>
      <c r="D134" s="56">
        <f t="shared" si="19"/>
        <v>1415</v>
      </c>
      <c r="E134" s="48">
        <f t="shared" si="21"/>
        <v>640</v>
      </c>
      <c r="F134" s="3">
        <f>Habitat!$D$22*D134</f>
        <v>17.442767295597484</v>
      </c>
      <c r="G134" s="3">
        <f t="shared" si="17"/>
        <v>0</v>
      </c>
      <c r="H134" s="3">
        <f>IF(D134&lt;$C$7,0,IF(D134&gt;$C$6,0,1))</f>
        <v>0</v>
      </c>
      <c r="I134" s="47">
        <f t="shared" si="23"/>
        <v>0</v>
      </c>
      <c r="J134" s="48">
        <f>IF(C134=1,I134*Habitat!$I$36,0)+IF(C134=2,I134*Habitat!$J$36,0)+IF(C134=3,I134*Habitat!$K$36,0)+IF(C134=4,I134*Habitat!$L$36,0)+IF(C134=5,I134*Habitat!$M$36,0)</f>
        <v>0</v>
      </c>
      <c r="K134" s="48">
        <f>IF(C134=1,I134*Habitat!$I$35,0)+IF(C134=2,I134*Habitat!$J$35,0)+IF(C134=3,I134*Habitat!$K$35,0)+IF(C134=4,I134*Habitat!$L$35,0)+IF(C134=5,I134*Habitat!$M$35,0)</f>
        <v>0</v>
      </c>
      <c r="L134" s="48">
        <f>IF(C134=1,I134*Habitat!$I$34,0)+IF(C134=2,I134*Habitat!$J$34,0)+IF(C134=3,I134*Habitat!$K$34,0)+IF(C134=4,I134*Habitat!$L$34,0)+IF(C134=5,I134*Habitat!$M$34,0)</f>
        <v>0</v>
      </c>
      <c r="M134" s="48">
        <f>IF(C134=1,I134*Habitat!$I$37,0)+IF(C134=2,I134*Habitat!$J$37,0)+IF(C134=3,I134*Habitat!$K$37,0)+IF(C134=4,I134*Habitat!$L$37,0)+IF(C134=5,I134*Habitat!$M$37,0)</f>
        <v>0</v>
      </c>
      <c r="N134" s="48">
        <f>IF(C134=1,I134*Habitat!$I$38,0)+IF(C134=2,I134*Habitat!$J$38,0)+IF(C134=3,I134*Habitat!$K$38,0)+IF(C134=4,I134*Habitat!$L$38,0)+IF(C134=5,I134*Habitat!$M$38,0)</f>
        <v>0</v>
      </c>
      <c r="O134">
        <f>IF(C134=1,I134*Habitat!$I$39,0)+IF(C134=2,I134*Habitat!$J$39,0)+IF(C134=3,I134*Habitat!$K$39,0)+IF(C134=4,I134*Habitat!$L$39,0)+IF(C134=5,I134*Habitat!$M$39,0)</f>
        <v>0</v>
      </c>
    </row>
    <row r="135" spans="1:15">
      <c r="A135">
        <f t="shared" si="24"/>
        <v>124</v>
      </c>
      <c r="C135" s="5">
        <v>3</v>
      </c>
      <c r="D135" s="56">
        <f t="shared" si="19"/>
        <v>1420</v>
      </c>
      <c r="E135" s="48">
        <f t="shared" si="21"/>
        <v>645</v>
      </c>
      <c r="F135" s="3">
        <f>Habitat!$D$22*D135</f>
        <v>17.504402515723271</v>
      </c>
      <c r="G135" s="3">
        <f t="shared" si="17"/>
        <v>0</v>
      </c>
      <c r="H135" s="3">
        <f>IF(D135&lt;$C$7,0,IF(D135&gt;$C$6,0,1))</f>
        <v>0</v>
      </c>
      <c r="I135" s="47">
        <f t="shared" si="23"/>
        <v>0</v>
      </c>
      <c r="J135" s="48">
        <f>IF(C135=1,I135*Habitat!$I$36,0)+IF(C135=2,I135*Habitat!$J$36,0)+IF(C135=3,I135*Habitat!$K$36,0)+IF(C135=4,I135*Habitat!$L$36,0)+IF(C135=5,I135*Habitat!$M$36,0)</f>
        <v>0</v>
      </c>
      <c r="K135" s="48">
        <f>IF(C135=1,I135*Habitat!$I$35,0)+IF(C135=2,I135*Habitat!$J$35,0)+IF(C135=3,I135*Habitat!$K$35,0)+IF(C135=4,I135*Habitat!$L$35,0)+IF(C135=5,I135*Habitat!$M$35,0)</f>
        <v>0</v>
      </c>
      <c r="L135" s="48">
        <f>IF(C135=1,I135*Habitat!$I$34,0)+IF(C135=2,I135*Habitat!$J$34,0)+IF(C135=3,I135*Habitat!$K$34,0)+IF(C135=4,I135*Habitat!$L$34,0)+IF(C135=5,I135*Habitat!$M$34,0)</f>
        <v>0</v>
      </c>
      <c r="M135" s="48">
        <f>IF(C135=1,I135*Habitat!$I$37,0)+IF(C135=2,I135*Habitat!$J$37,0)+IF(C135=3,I135*Habitat!$K$37,0)+IF(C135=4,I135*Habitat!$L$37,0)+IF(C135=5,I135*Habitat!$M$37,0)</f>
        <v>0</v>
      </c>
      <c r="N135" s="48">
        <f>IF(C135=1,I135*Habitat!$I$38,0)+IF(C135=2,I135*Habitat!$J$38,0)+IF(C135=3,I135*Habitat!$K$38,0)+IF(C135=4,I135*Habitat!$L$38,0)+IF(C135=5,I135*Habitat!$M$38,0)</f>
        <v>0</v>
      </c>
      <c r="O135">
        <f>IF(C135=1,I135*Habitat!$I$39,0)+IF(C135=2,I135*Habitat!$J$39,0)+IF(C135=3,I135*Habitat!$K$39,0)+IF(C135=4,I135*Habitat!$L$39,0)+IF(C135=5,I135*Habitat!$M$39,0)</f>
        <v>0</v>
      </c>
    </row>
    <row r="136" spans="1:15">
      <c r="A136">
        <f t="shared" si="24"/>
        <v>125</v>
      </c>
      <c r="C136" s="5">
        <v>3</v>
      </c>
      <c r="D136" s="56">
        <f t="shared" si="19"/>
        <v>1425</v>
      </c>
      <c r="E136" s="48">
        <f t="shared" si="21"/>
        <v>650</v>
      </c>
      <c r="F136" s="3">
        <f>Habitat!$D$22*D136</f>
        <v>17.566037735849058</v>
      </c>
      <c r="G136" s="3">
        <f t="shared" si="17"/>
        <v>0</v>
      </c>
      <c r="H136" s="3">
        <f>IF(D136&lt;$C$7,0,IF(D136&gt;$C$6,0,1))</f>
        <v>0</v>
      </c>
      <c r="I136" s="47">
        <f t="shared" si="23"/>
        <v>0</v>
      </c>
      <c r="J136" s="48">
        <f>IF(C136=1,I136*Habitat!$I$36,0)+IF(C136=2,I136*Habitat!$J$36,0)+IF(C136=3,I136*Habitat!$K$36,0)+IF(C136=4,I136*Habitat!$L$36,0)+IF(C136=5,I136*Habitat!$M$36,0)</f>
        <v>0</v>
      </c>
      <c r="K136" s="48">
        <f>IF(C136=1,I136*Habitat!$I$35,0)+IF(C136=2,I136*Habitat!$J$35,0)+IF(C136=3,I136*Habitat!$K$35,0)+IF(C136=4,I136*Habitat!$L$35,0)+IF(C136=5,I136*Habitat!$M$35,0)</f>
        <v>0</v>
      </c>
      <c r="L136" s="48">
        <f>IF(C136=1,I136*Habitat!$I$34,0)+IF(C136=2,I136*Habitat!$J$34,0)+IF(C136=3,I136*Habitat!$K$34,0)+IF(C136=4,I136*Habitat!$L$34,0)+IF(C136=5,I136*Habitat!$M$34,0)</f>
        <v>0</v>
      </c>
      <c r="M136" s="48">
        <f>IF(C136=1,I136*Habitat!$I$37,0)+IF(C136=2,I136*Habitat!$J$37,0)+IF(C136=3,I136*Habitat!$K$37,0)+IF(C136=4,I136*Habitat!$L$37,0)+IF(C136=5,I136*Habitat!$M$37,0)</f>
        <v>0</v>
      </c>
      <c r="N136" s="48">
        <f>IF(C136=1,I136*Habitat!$I$38,0)+IF(C136=2,I136*Habitat!$J$38,0)+IF(C136=3,I136*Habitat!$K$38,0)+IF(C136=4,I136*Habitat!$L$38,0)+IF(C136=5,I136*Habitat!$M$38,0)</f>
        <v>0</v>
      </c>
      <c r="O136">
        <f>IF(C136=1,I136*Habitat!$I$39,0)+IF(C136=2,I136*Habitat!$J$39,0)+IF(C136=3,I136*Habitat!$K$39,0)+IF(C136=4,I136*Habitat!$L$39,0)+IF(C136=5,I136*Habitat!$M$39,0)</f>
        <v>0</v>
      </c>
    </row>
    <row r="137" spans="1:15">
      <c r="A137">
        <f t="shared" si="24"/>
        <v>126</v>
      </c>
      <c r="C137" s="5">
        <v>3</v>
      </c>
      <c r="D137" s="56">
        <f t="shared" si="19"/>
        <v>1430</v>
      </c>
      <c r="E137" s="48">
        <f t="shared" si="21"/>
        <v>655</v>
      </c>
      <c r="F137" s="3">
        <f>Habitat!$D$22*D137</f>
        <v>17.627672955974841</v>
      </c>
      <c r="G137" s="3">
        <f t="shared" si="17"/>
        <v>0</v>
      </c>
      <c r="H137" s="3">
        <f>IF(D137&lt;$C$7,0,IF(D137&gt;$C$6,0,1))</f>
        <v>0</v>
      </c>
      <c r="I137" s="47">
        <f t="shared" si="23"/>
        <v>0</v>
      </c>
      <c r="J137" s="48">
        <f>IF(C137=1,I137*Habitat!$I$36,0)+IF(C137=2,I137*Habitat!$J$36,0)+IF(C137=3,I137*Habitat!$K$36,0)+IF(C137=4,I137*Habitat!$L$36,0)+IF(C137=5,I137*Habitat!$M$36,0)</f>
        <v>0</v>
      </c>
      <c r="K137" s="48">
        <f>IF(C137=1,I137*Habitat!$I$35,0)+IF(C137=2,I137*Habitat!$J$35,0)+IF(C137=3,I137*Habitat!$K$35,0)+IF(C137=4,I137*Habitat!$L$35,0)+IF(C137=5,I137*Habitat!$M$35,0)</f>
        <v>0</v>
      </c>
      <c r="L137" s="48">
        <f>IF(C137=1,I137*Habitat!$I$34,0)+IF(C137=2,I137*Habitat!$J$34,0)+IF(C137=3,I137*Habitat!$K$34,0)+IF(C137=4,I137*Habitat!$L$34,0)+IF(C137=5,I137*Habitat!$M$34,0)</f>
        <v>0</v>
      </c>
      <c r="M137" s="48">
        <f>IF(C137=1,I137*Habitat!$I$37,0)+IF(C137=2,I137*Habitat!$J$37,0)+IF(C137=3,I137*Habitat!$K$37,0)+IF(C137=4,I137*Habitat!$L$37,0)+IF(C137=5,I137*Habitat!$M$37,0)</f>
        <v>0</v>
      </c>
      <c r="N137" s="48">
        <f>IF(C137=1,I137*Habitat!$I$38,0)+IF(C137=2,I137*Habitat!$J$38,0)+IF(C137=3,I137*Habitat!$K$38,0)+IF(C137=4,I137*Habitat!$L$38,0)+IF(C137=5,I137*Habitat!$M$38,0)</f>
        <v>0</v>
      </c>
      <c r="O137">
        <f>IF(C137=1,I137*Habitat!$I$39,0)+IF(C137=2,I137*Habitat!$J$39,0)+IF(C137=3,I137*Habitat!$K$39,0)+IF(C137=4,I137*Habitat!$L$39,0)+IF(C137=5,I137*Habitat!$M$39,0)</f>
        <v>0</v>
      </c>
    </row>
    <row r="138" spans="1:15">
      <c r="A138">
        <f t="shared" si="24"/>
        <v>127</v>
      </c>
      <c r="C138" s="5">
        <v>3</v>
      </c>
      <c r="D138" s="56">
        <f t="shared" si="19"/>
        <v>1435</v>
      </c>
      <c r="E138" s="48">
        <f t="shared" si="21"/>
        <v>660</v>
      </c>
      <c r="F138" s="3">
        <f>Habitat!$D$22*D138</f>
        <v>17.689308176100628</v>
      </c>
      <c r="G138" s="3">
        <f t="shared" si="17"/>
        <v>0</v>
      </c>
      <c r="H138" s="3">
        <f>IF(D138&lt;$C$7,0,IF(D138&gt;$C$6,0,1))</f>
        <v>0</v>
      </c>
      <c r="I138" s="47">
        <f t="shared" si="23"/>
        <v>0</v>
      </c>
      <c r="J138" s="48">
        <f>IF(C138=1,I138*Habitat!$I$36,0)+IF(C138=2,I138*Habitat!$J$36,0)+IF(C138=3,I138*Habitat!$K$36,0)+IF(C138=4,I138*Habitat!$L$36,0)+IF(C138=5,I138*Habitat!$M$36,0)</f>
        <v>0</v>
      </c>
      <c r="K138" s="48">
        <f>IF(C138=1,I138*Habitat!$I$35,0)+IF(C138=2,I138*Habitat!$J$35,0)+IF(C138=3,I138*Habitat!$K$35,0)+IF(C138=4,I138*Habitat!$L$35,0)+IF(C138=5,I138*Habitat!$M$35,0)</f>
        <v>0</v>
      </c>
      <c r="L138" s="48">
        <f>IF(C138=1,I138*Habitat!$I$34,0)+IF(C138=2,I138*Habitat!$J$34,0)+IF(C138=3,I138*Habitat!$K$34,0)+IF(C138=4,I138*Habitat!$L$34,0)+IF(C138=5,I138*Habitat!$M$34,0)</f>
        <v>0</v>
      </c>
      <c r="M138" s="48">
        <f>IF(C138=1,I138*Habitat!$I$37,0)+IF(C138=2,I138*Habitat!$J$37,0)+IF(C138=3,I138*Habitat!$K$37,0)+IF(C138=4,I138*Habitat!$L$37,0)+IF(C138=5,I138*Habitat!$M$37,0)</f>
        <v>0</v>
      </c>
      <c r="N138" s="48">
        <f>IF(C138=1,I138*Habitat!$I$38,0)+IF(C138=2,I138*Habitat!$J$38,0)+IF(C138=3,I138*Habitat!$K$38,0)+IF(C138=4,I138*Habitat!$L$38,0)+IF(C138=5,I138*Habitat!$M$38,0)</f>
        <v>0</v>
      </c>
      <c r="O138">
        <f>IF(C138=1,I138*Habitat!$I$39,0)+IF(C138=2,I138*Habitat!$J$39,0)+IF(C138=3,I138*Habitat!$K$39,0)+IF(C138=4,I138*Habitat!$L$39,0)+IF(C138=5,I138*Habitat!$M$39,0)</f>
        <v>0</v>
      </c>
    </row>
    <row r="139" spans="1:15">
      <c r="A139">
        <f t="shared" ref="A139:A146" si="25">A138+1</f>
        <v>128</v>
      </c>
      <c r="C139" s="5">
        <v>3</v>
      </c>
      <c r="D139" s="56">
        <f t="shared" si="19"/>
        <v>1440</v>
      </c>
      <c r="E139" s="48">
        <f t="shared" si="21"/>
        <v>665</v>
      </c>
      <c r="F139" s="3">
        <f>Habitat!$D$22*D139</f>
        <v>17.750943396226415</v>
      </c>
      <c r="G139" s="3">
        <f t="shared" si="17"/>
        <v>0</v>
      </c>
      <c r="H139" s="3">
        <f>IF(D139&lt;$C$7,0,IF(D139&gt;$C$6,0,1))</f>
        <v>0</v>
      </c>
      <c r="I139" s="47">
        <f t="shared" si="23"/>
        <v>0</v>
      </c>
      <c r="J139" s="48">
        <f>IF(C139=1,I139*Habitat!$I$36,0)+IF(C139=2,I139*Habitat!$J$36,0)+IF(C139=3,I139*Habitat!$K$36,0)+IF(C139=4,I139*Habitat!$L$36,0)+IF(C139=5,I139*Habitat!$M$36,0)</f>
        <v>0</v>
      </c>
      <c r="K139" s="48">
        <f>IF(C139=1,I139*Habitat!$I$35,0)+IF(C139=2,I139*Habitat!$J$35,0)+IF(C139=3,I139*Habitat!$K$35,0)+IF(C139=4,I139*Habitat!$L$35,0)+IF(C139=5,I139*Habitat!$M$35,0)</f>
        <v>0</v>
      </c>
      <c r="L139" s="48">
        <f>IF(C139=1,I139*Habitat!$I$34,0)+IF(C139=2,I139*Habitat!$J$34,0)+IF(C139=3,I139*Habitat!$K$34,0)+IF(C139=4,I139*Habitat!$L$34,0)+IF(C139=5,I139*Habitat!$M$34,0)</f>
        <v>0</v>
      </c>
      <c r="M139" s="48">
        <f>IF(C139=1,I139*Habitat!$I$37,0)+IF(C139=2,I139*Habitat!$J$37,0)+IF(C139=3,I139*Habitat!$K$37,0)+IF(C139=4,I139*Habitat!$L$37,0)+IF(C139=5,I139*Habitat!$M$37,0)</f>
        <v>0</v>
      </c>
      <c r="N139" s="48">
        <f>IF(C139=1,I139*Habitat!$I$38,0)+IF(C139=2,I139*Habitat!$J$38,0)+IF(C139=3,I139*Habitat!$K$38,0)+IF(C139=4,I139*Habitat!$L$38,0)+IF(C139=5,I139*Habitat!$M$38,0)</f>
        <v>0</v>
      </c>
      <c r="O139">
        <f>IF(C139=1,I139*Habitat!$I$39,0)+IF(C139=2,I139*Habitat!$J$39,0)+IF(C139=3,I139*Habitat!$K$39,0)+IF(C139=4,I139*Habitat!$L$39,0)+IF(C139=5,I139*Habitat!$M$39,0)</f>
        <v>0</v>
      </c>
    </row>
    <row r="140" spans="1:15">
      <c r="A140">
        <f t="shared" si="25"/>
        <v>129</v>
      </c>
      <c r="C140" s="5">
        <v>3</v>
      </c>
      <c r="D140" s="56">
        <f t="shared" si="19"/>
        <v>1445</v>
      </c>
      <c r="E140" s="48">
        <f t="shared" si="21"/>
        <v>670</v>
      </c>
      <c r="F140" s="3">
        <f>Habitat!$D$22*D140</f>
        <v>17.812578616352202</v>
      </c>
      <c r="G140" s="3">
        <f t="shared" ref="G140:G203" si="26">IF(H140,F140/9.8,0)</f>
        <v>0</v>
      </c>
      <c r="H140" s="3">
        <f>IF(D140&lt;$C$7,0,IF(D140&gt;$C$6,0,1))</f>
        <v>0</v>
      </c>
      <c r="I140" s="47">
        <f t="shared" si="23"/>
        <v>0</v>
      </c>
      <c r="J140" s="48">
        <f>IF(C140=1,I140*Habitat!$I$36,0)+IF(C140=2,I140*Habitat!$J$36,0)+IF(C140=3,I140*Habitat!$K$36,0)+IF(C140=4,I140*Habitat!$L$36,0)+IF(C140=5,I140*Habitat!$M$36,0)</f>
        <v>0</v>
      </c>
      <c r="K140" s="48">
        <f>IF(C140=1,I140*Habitat!$I$35,0)+IF(C140=2,I140*Habitat!$J$35,0)+IF(C140=3,I140*Habitat!$K$35,0)+IF(C140=4,I140*Habitat!$L$35,0)+IF(C140=5,I140*Habitat!$M$35,0)</f>
        <v>0</v>
      </c>
      <c r="L140" s="48">
        <f>IF(C140=1,I140*Habitat!$I$34,0)+IF(C140=2,I140*Habitat!$J$34,0)+IF(C140=3,I140*Habitat!$K$34,0)+IF(C140=4,I140*Habitat!$L$34,0)+IF(C140=5,I140*Habitat!$M$34,0)</f>
        <v>0</v>
      </c>
      <c r="M140" s="48">
        <f>IF(C140=1,I140*Habitat!$I$37,0)+IF(C140=2,I140*Habitat!$J$37,0)+IF(C140=3,I140*Habitat!$K$37,0)+IF(C140=4,I140*Habitat!$L$37,0)+IF(C140=5,I140*Habitat!$M$37,0)</f>
        <v>0</v>
      </c>
      <c r="N140" s="48">
        <f>IF(C140=1,I140*Habitat!$I$38,0)+IF(C140=2,I140*Habitat!$J$38,0)+IF(C140=3,I140*Habitat!$K$38,0)+IF(C140=4,I140*Habitat!$L$38,0)+IF(C140=5,I140*Habitat!$M$38,0)</f>
        <v>0</v>
      </c>
      <c r="O140">
        <f>IF(C140=1,I140*Habitat!$I$39,0)+IF(C140=2,I140*Habitat!$J$39,0)+IF(C140=3,I140*Habitat!$K$39,0)+IF(C140=4,I140*Habitat!$L$39,0)+IF(C140=5,I140*Habitat!$M$39,0)</f>
        <v>0</v>
      </c>
    </row>
    <row r="141" spans="1:15">
      <c r="A141">
        <f t="shared" si="25"/>
        <v>130</v>
      </c>
      <c r="C141" s="5">
        <v>3</v>
      </c>
      <c r="D141" s="56">
        <f t="shared" ref="D141:D145" si="27">D140+IF(C141=2,2*$C$3,$C$3)</f>
        <v>1450</v>
      </c>
      <c r="E141" s="48">
        <f t="shared" si="21"/>
        <v>675</v>
      </c>
      <c r="F141" s="3">
        <f>Habitat!$D$22*D141</f>
        <v>17.874213836477988</v>
      </c>
      <c r="G141" s="3">
        <f t="shared" si="26"/>
        <v>0</v>
      </c>
      <c r="H141" s="3">
        <f>IF(D141&lt;$C$7,0,IF(D141&gt;$C$6,0,1))</f>
        <v>0</v>
      </c>
      <c r="I141" s="47">
        <f t="shared" si="23"/>
        <v>0</v>
      </c>
      <c r="J141" s="48">
        <f>IF(C141=1,I141*Habitat!$I$36,0)+IF(C141=2,I141*Habitat!$J$36,0)+IF(C141=3,I141*Habitat!$K$36,0)+IF(C141=4,I141*Habitat!$L$36,0)+IF(C141=5,I141*Habitat!$M$36,0)</f>
        <v>0</v>
      </c>
      <c r="K141" s="48">
        <f>IF(C141=1,I141*Habitat!$I$35,0)+IF(C141=2,I141*Habitat!$J$35,0)+IF(C141=3,I141*Habitat!$K$35,0)+IF(C141=4,I141*Habitat!$L$35,0)+IF(C141=5,I141*Habitat!$M$35,0)</f>
        <v>0</v>
      </c>
      <c r="L141" s="48">
        <f>IF(C141=1,I141*Habitat!$I$34,0)+IF(C141=2,I141*Habitat!$J$34,0)+IF(C141=3,I141*Habitat!$K$34,0)+IF(C141=4,I141*Habitat!$L$34,0)+IF(C141=5,I141*Habitat!$M$34,0)</f>
        <v>0</v>
      </c>
      <c r="M141" s="48">
        <f>IF(C141=1,I141*Habitat!$I$37,0)+IF(C141=2,I141*Habitat!$J$37,0)+IF(C141=3,I141*Habitat!$K$37,0)+IF(C141=4,I141*Habitat!$L$37,0)+IF(C141=5,I141*Habitat!$M$37,0)</f>
        <v>0</v>
      </c>
      <c r="N141" s="48">
        <f>IF(C141=1,I141*Habitat!$I$38,0)+IF(C141=2,I141*Habitat!$J$38,0)+IF(C141=3,I141*Habitat!$K$38,0)+IF(C141=4,I141*Habitat!$L$38,0)+IF(C141=5,I141*Habitat!$M$38,0)</f>
        <v>0</v>
      </c>
      <c r="O141">
        <f>IF(C141=1,I141*Habitat!$I$39,0)+IF(C141=2,I141*Habitat!$J$39,0)+IF(C141=3,I141*Habitat!$K$39,0)+IF(C141=4,I141*Habitat!$L$39,0)+IF(C141=5,I141*Habitat!$M$39,0)</f>
        <v>0</v>
      </c>
    </row>
    <row r="142" spans="1:15">
      <c r="A142">
        <f t="shared" si="25"/>
        <v>131</v>
      </c>
      <c r="C142" s="5">
        <v>3</v>
      </c>
      <c r="D142" s="56">
        <f t="shared" si="27"/>
        <v>1455</v>
      </c>
      <c r="E142" s="48">
        <f t="shared" si="21"/>
        <v>680</v>
      </c>
      <c r="F142" s="3">
        <f>Habitat!$D$22*D142</f>
        <v>17.935849056603775</v>
      </c>
      <c r="G142" s="3">
        <f t="shared" si="26"/>
        <v>0</v>
      </c>
      <c r="H142" s="3">
        <f>IF(D142&lt;$C$7,0,IF(D142&gt;$C$6,0,1))</f>
        <v>0</v>
      </c>
      <c r="I142" s="47">
        <f t="shared" si="23"/>
        <v>0</v>
      </c>
      <c r="J142" s="48">
        <f>IF(C142=1,I142*Habitat!$I$36,0)+IF(C142=2,I142*Habitat!$J$36,0)+IF(C142=3,I142*Habitat!$K$36,0)+IF(C142=4,I142*Habitat!$L$36,0)+IF(C142=5,I142*Habitat!$M$36,0)</f>
        <v>0</v>
      </c>
      <c r="K142" s="48">
        <f>IF(C142=1,I142*Habitat!$I$35,0)+IF(C142=2,I142*Habitat!$J$35,0)+IF(C142=3,I142*Habitat!$K$35,0)+IF(C142=4,I142*Habitat!$L$35,0)+IF(C142=5,I142*Habitat!$M$35,0)</f>
        <v>0</v>
      </c>
      <c r="L142" s="48">
        <f>IF(C142=1,I142*Habitat!$I$34,0)+IF(C142=2,I142*Habitat!$J$34,0)+IF(C142=3,I142*Habitat!$K$34,0)+IF(C142=4,I142*Habitat!$L$34,0)+IF(C142=5,I142*Habitat!$M$34,0)</f>
        <v>0</v>
      </c>
      <c r="M142" s="48">
        <f>IF(C142=1,I142*Habitat!$I$37,0)+IF(C142=2,I142*Habitat!$J$37,0)+IF(C142=3,I142*Habitat!$K$37,0)+IF(C142=4,I142*Habitat!$L$37,0)+IF(C142=5,I142*Habitat!$M$37,0)</f>
        <v>0</v>
      </c>
      <c r="N142" s="48">
        <f>IF(C142=1,I142*Habitat!$I$38,0)+IF(C142=2,I142*Habitat!$J$38,0)+IF(C142=3,I142*Habitat!$K$38,0)+IF(C142=4,I142*Habitat!$L$38,0)+IF(C142=5,I142*Habitat!$M$38,0)</f>
        <v>0</v>
      </c>
      <c r="O142">
        <f>IF(C142=1,I142*Habitat!$I$39,0)+IF(C142=2,I142*Habitat!$J$39,0)+IF(C142=3,I142*Habitat!$K$39,0)+IF(C142=4,I142*Habitat!$L$39,0)+IF(C142=5,I142*Habitat!$M$39,0)</f>
        <v>0</v>
      </c>
    </row>
    <row r="143" spans="1:15">
      <c r="A143">
        <f t="shared" si="25"/>
        <v>132</v>
      </c>
      <c r="C143" s="5">
        <v>3</v>
      </c>
      <c r="D143" s="56">
        <f t="shared" si="27"/>
        <v>1460</v>
      </c>
      <c r="E143" s="48">
        <f t="shared" si="21"/>
        <v>685</v>
      </c>
      <c r="F143" s="3">
        <f>Habitat!$D$22*D143</f>
        <v>17.997484276729558</v>
      </c>
      <c r="G143" s="3">
        <f t="shared" si="26"/>
        <v>0</v>
      </c>
      <c r="H143" s="3">
        <f>IF(D143&lt;$C$7,0,IF(D143&gt;$C$6,0,1))</f>
        <v>0</v>
      </c>
      <c r="I143" s="47">
        <f t="shared" si="23"/>
        <v>0</v>
      </c>
      <c r="J143" s="48">
        <f>IF(C143=1,I143*Habitat!$I$36,0)+IF(C143=2,I143*Habitat!$J$36,0)+IF(C143=3,I143*Habitat!$K$36,0)+IF(C143=4,I143*Habitat!$L$36,0)+IF(C143=5,I143*Habitat!$M$36,0)</f>
        <v>0</v>
      </c>
      <c r="K143" s="48">
        <f>IF(C143=1,I143*Habitat!$I$35,0)+IF(C143=2,I143*Habitat!$J$35,0)+IF(C143=3,I143*Habitat!$K$35,0)+IF(C143=4,I143*Habitat!$L$35,0)+IF(C143=5,I143*Habitat!$M$35,0)</f>
        <v>0</v>
      </c>
      <c r="L143" s="48">
        <f>IF(C143=1,I143*Habitat!$I$34,0)+IF(C143=2,I143*Habitat!$J$34,0)+IF(C143=3,I143*Habitat!$K$34,0)+IF(C143=4,I143*Habitat!$L$34,0)+IF(C143=5,I143*Habitat!$M$34,0)</f>
        <v>0</v>
      </c>
      <c r="M143" s="48">
        <f>IF(C143=1,I143*Habitat!$I$37,0)+IF(C143=2,I143*Habitat!$J$37,0)+IF(C143=3,I143*Habitat!$K$37,0)+IF(C143=4,I143*Habitat!$L$37,0)+IF(C143=5,I143*Habitat!$M$37,0)</f>
        <v>0</v>
      </c>
      <c r="N143" s="48">
        <f>IF(C143=1,I143*Habitat!$I$38,0)+IF(C143=2,I143*Habitat!$J$38,0)+IF(C143=3,I143*Habitat!$K$38,0)+IF(C143=4,I143*Habitat!$L$38,0)+IF(C143=5,I143*Habitat!$M$38,0)</f>
        <v>0</v>
      </c>
      <c r="O143">
        <f>IF(C143=1,I143*Habitat!$I$39,0)+IF(C143=2,I143*Habitat!$J$39,0)+IF(C143=3,I143*Habitat!$K$39,0)+IF(C143=4,I143*Habitat!$L$39,0)+IF(C143=5,I143*Habitat!$M$39,0)</f>
        <v>0</v>
      </c>
    </row>
    <row r="144" spans="1:15">
      <c r="A144">
        <f t="shared" si="25"/>
        <v>133</v>
      </c>
      <c r="C144" s="5">
        <v>3</v>
      </c>
      <c r="D144" s="56">
        <f t="shared" si="27"/>
        <v>1465</v>
      </c>
      <c r="E144" s="48">
        <f t="shared" si="21"/>
        <v>690</v>
      </c>
      <c r="F144" s="3">
        <f>Habitat!$D$22*D144</f>
        <v>18.059119496855345</v>
      </c>
      <c r="G144" s="3">
        <f t="shared" si="26"/>
        <v>0</v>
      </c>
      <c r="H144" s="3">
        <f>IF(D144&lt;$C$7,0,IF(D144&gt;$C$6,0,1))</f>
        <v>0</v>
      </c>
      <c r="I144" s="47">
        <f t="shared" si="23"/>
        <v>0</v>
      </c>
      <c r="J144" s="48">
        <f>IF(C144=1,I144*Habitat!$I$36,0)+IF(C144=2,I144*Habitat!$J$36,0)+IF(C144=3,I144*Habitat!$K$36,0)+IF(C144=4,I144*Habitat!$L$36,0)+IF(C144=5,I144*Habitat!$M$36,0)</f>
        <v>0</v>
      </c>
      <c r="K144" s="48">
        <f>IF(C144=1,I144*Habitat!$I$35,0)+IF(C144=2,I144*Habitat!$J$35,0)+IF(C144=3,I144*Habitat!$K$35,0)+IF(C144=4,I144*Habitat!$L$35,0)+IF(C144=5,I144*Habitat!$M$35,0)</f>
        <v>0</v>
      </c>
      <c r="L144" s="48">
        <f>IF(C144=1,I144*Habitat!$I$34,0)+IF(C144=2,I144*Habitat!$J$34,0)+IF(C144=3,I144*Habitat!$K$34,0)+IF(C144=4,I144*Habitat!$L$34,0)+IF(C144=5,I144*Habitat!$M$34,0)</f>
        <v>0</v>
      </c>
      <c r="M144" s="48">
        <f>IF(C144=1,I144*Habitat!$I$37,0)+IF(C144=2,I144*Habitat!$J$37,0)+IF(C144=3,I144*Habitat!$K$37,0)+IF(C144=4,I144*Habitat!$L$37,0)+IF(C144=5,I144*Habitat!$M$37,0)</f>
        <v>0</v>
      </c>
      <c r="N144" s="48">
        <f>IF(C144=1,I144*Habitat!$I$38,0)+IF(C144=2,I144*Habitat!$J$38,0)+IF(C144=3,I144*Habitat!$K$38,0)+IF(C144=4,I144*Habitat!$L$38,0)+IF(C144=5,I144*Habitat!$M$38,0)</f>
        <v>0</v>
      </c>
      <c r="O144">
        <f>IF(C144=1,I144*Habitat!$I$39,0)+IF(C144=2,I144*Habitat!$J$39,0)+IF(C144=3,I144*Habitat!$K$39,0)+IF(C144=4,I144*Habitat!$L$39,0)+IF(C144=5,I144*Habitat!$M$39,0)</f>
        <v>0</v>
      </c>
    </row>
    <row r="145" spans="1:15">
      <c r="A145">
        <f t="shared" si="25"/>
        <v>134</v>
      </c>
      <c r="C145" s="5">
        <v>3</v>
      </c>
      <c r="D145" s="56">
        <f t="shared" si="27"/>
        <v>1470</v>
      </c>
      <c r="E145" s="48">
        <f t="shared" si="21"/>
        <v>695</v>
      </c>
      <c r="F145" s="3">
        <f>Habitat!$D$22*D145</f>
        <v>18.120754716981132</v>
      </c>
      <c r="G145" s="3">
        <f t="shared" si="26"/>
        <v>0</v>
      </c>
      <c r="H145" s="3">
        <f>IF(D145&lt;$C$7,0,IF(D145&gt;$C$6,0,1))</f>
        <v>0</v>
      </c>
      <c r="I145" s="47">
        <f t="shared" si="23"/>
        <v>0</v>
      </c>
      <c r="J145" s="48">
        <f>IF(C145=1,I145*Habitat!$I$36,0)+IF(C145=2,I145*Habitat!$J$36,0)+IF(C145=3,I145*Habitat!$K$36,0)+IF(C145=4,I145*Habitat!$L$36,0)+IF(C145=5,I145*Habitat!$M$36,0)</f>
        <v>0</v>
      </c>
      <c r="K145" s="48">
        <f>IF(C145=1,I145*Habitat!$I$35,0)+IF(C145=2,I145*Habitat!$J$35,0)+IF(C145=3,I145*Habitat!$K$35,0)+IF(C145=4,I145*Habitat!$L$35,0)+IF(C145=5,I145*Habitat!$M$35,0)</f>
        <v>0</v>
      </c>
      <c r="L145" s="48">
        <f>IF(C145=1,I145*Habitat!$I$34,0)+IF(C145=2,I145*Habitat!$J$34,0)+IF(C145=3,I145*Habitat!$K$34,0)+IF(C145=4,I145*Habitat!$L$34,0)+IF(C145=5,I145*Habitat!$M$34,0)</f>
        <v>0</v>
      </c>
      <c r="M145" s="48">
        <f>IF(C145=1,I145*Habitat!$I$37,0)+IF(C145=2,I145*Habitat!$J$37,0)+IF(C145=3,I145*Habitat!$K$37,0)+IF(C145=4,I145*Habitat!$L$37,0)+IF(C145=5,I145*Habitat!$M$37,0)</f>
        <v>0</v>
      </c>
      <c r="N145" s="48">
        <f>IF(C145=1,I145*Habitat!$I$38,0)+IF(C145=2,I145*Habitat!$J$38,0)+IF(C145=3,I145*Habitat!$K$38,0)+IF(C145=4,I145*Habitat!$L$38,0)+IF(C145=5,I145*Habitat!$M$38,0)</f>
        <v>0</v>
      </c>
      <c r="O145">
        <f>IF(C145=1,I145*Habitat!$I$39,0)+IF(C145=2,I145*Habitat!$J$39,0)+IF(C145=3,I145*Habitat!$K$39,0)+IF(C145=4,I145*Habitat!$L$39,0)+IF(C145=5,I145*Habitat!$M$39,0)</f>
        <v>0</v>
      </c>
    </row>
    <row r="146" spans="1:15">
      <c r="A146">
        <f t="shared" si="25"/>
        <v>135</v>
      </c>
      <c r="C146" s="5">
        <v>3</v>
      </c>
      <c r="D146" s="56">
        <f>D145+Habitat!$C$25</f>
        <v>1475</v>
      </c>
      <c r="E146" s="48">
        <f t="shared" si="21"/>
        <v>700</v>
      </c>
      <c r="F146" s="3">
        <f>Habitat!$D$22*D146</f>
        <v>18.182389937106919</v>
      </c>
      <c r="G146" s="3">
        <f t="shared" si="26"/>
        <v>0</v>
      </c>
      <c r="H146" s="3">
        <f>IF(D146&lt;$C$7,0,IF(D146&gt;$C$6,0,1))</f>
        <v>0</v>
      </c>
      <c r="I146" s="47">
        <f t="shared" si="23"/>
        <v>0</v>
      </c>
      <c r="J146" s="48">
        <f>IF(C146=1,I146*Habitat!$I$36,0)+IF(C146=2,I146*Habitat!$J$36,0)+IF(C146=3,I146*Habitat!$K$36,0)+IF(C146=4,I146*Habitat!$L$36,0)+IF(C146=5,I146*Habitat!$M$36,0)</f>
        <v>0</v>
      </c>
      <c r="K146" s="48">
        <f>IF(C146=1,I146*Habitat!$I$35,0)+IF(C146=2,I146*Habitat!$J$35,0)+IF(C146=3,I146*Habitat!$K$35,0)+IF(C146=4,I146*Habitat!$L$35,0)+IF(C146=5,I146*Habitat!$M$35,0)</f>
        <v>0</v>
      </c>
      <c r="L146" s="48">
        <f>IF(C146=1,I146*Habitat!$I$34,0)+IF(C146=2,I146*Habitat!$J$34,0)+IF(C146=3,I146*Habitat!$K$34,0)+IF(C146=4,I146*Habitat!$L$34,0)+IF(C146=5,I146*Habitat!$M$34,0)</f>
        <v>0</v>
      </c>
      <c r="M146" s="48">
        <f>IF(C146=1,I146*Habitat!$I$37,0)+IF(C146=2,I146*Habitat!$J$37,0)+IF(C146=3,I146*Habitat!$K$37,0)+IF(C146=4,I146*Habitat!$L$37,0)+IF(C146=5,I146*Habitat!$M$37,0)</f>
        <v>0</v>
      </c>
      <c r="N146" s="48">
        <f>IF(C146=1,I146*Habitat!$I$38,0)+IF(C146=2,I146*Habitat!$J$38,0)+IF(C146=3,I146*Habitat!$K$38,0)+IF(C146=4,I146*Habitat!$L$38,0)+IF(C146=5,I146*Habitat!$M$38,0)</f>
        <v>0</v>
      </c>
      <c r="O146">
        <f>IF(C146=1,I146*Habitat!$I$39,0)+IF(C146=2,I146*Habitat!$J$39,0)+IF(C146=3,I146*Habitat!$K$39,0)+IF(C146=4,I146*Habitat!$L$39,0)+IF(C146=5,I146*Habitat!$M$39,0)</f>
        <v>0</v>
      </c>
    </row>
    <row r="147" spans="1:15">
      <c r="A147">
        <f t="shared" ref="A147:A153" si="28">A146+1</f>
        <v>136</v>
      </c>
      <c r="C147" s="5">
        <v>3</v>
      </c>
      <c r="D147" s="56">
        <f>D146+Habitat!$C$25</f>
        <v>1480</v>
      </c>
      <c r="E147" s="48">
        <f t="shared" si="21"/>
        <v>705</v>
      </c>
      <c r="F147" s="3">
        <f>Habitat!$D$22*D147</f>
        <v>18.244025157232706</v>
      </c>
      <c r="G147" s="3">
        <f t="shared" si="26"/>
        <v>0</v>
      </c>
      <c r="H147" s="3">
        <f>IF(D147&lt;$C$7,0,IF(D147&gt;$C$6,0,1))</f>
        <v>0</v>
      </c>
      <c r="I147" s="47">
        <f t="shared" si="23"/>
        <v>0</v>
      </c>
      <c r="J147" s="48">
        <f>IF(C147=1,I147*Habitat!$I$36,0)+IF(C147=2,I147*Habitat!$J$36,0)+IF(C147=3,I147*Habitat!$K$36,0)+IF(C147=4,I147*Habitat!$L$36,0)+IF(C147=5,I147*Habitat!$M$36,0)</f>
        <v>0</v>
      </c>
      <c r="K147" s="48">
        <f>IF(C147=1,I147*Habitat!$I$35,0)+IF(C147=2,I147*Habitat!$J$35,0)+IF(C147=3,I147*Habitat!$K$35,0)+IF(C147=4,I147*Habitat!$L$35,0)+IF(C147=5,I147*Habitat!$M$35,0)</f>
        <v>0</v>
      </c>
      <c r="L147" s="48">
        <f>IF(C147=1,I147*Habitat!$I$34,0)+IF(C147=2,I147*Habitat!$J$34,0)+IF(C147=3,I147*Habitat!$K$34,0)+IF(C147=4,I147*Habitat!$L$34,0)+IF(C147=5,I147*Habitat!$M$34,0)</f>
        <v>0</v>
      </c>
      <c r="M147" s="48">
        <f>IF(C147=1,I147*Habitat!$I$37,0)+IF(C147=2,I147*Habitat!$J$37,0)+IF(C147=3,I147*Habitat!$K$37,0)+IF(C147=4,I147*Habitat!$L$37,0)+IF(C147=5,I147*Habitat!$M$37,0)</f>
        <v>0</v>
      </c>
      <c r="N147" s="48">
        <f>IF(C147=1,I147*Habitat!$I$38,0)+IF(C147=2,I147*Habitat!$J$38,0)+IF(C147=3,I147*Habitat!$K$38,0)+IF(C147=4,I147*Habitat!$L$38,0)+IF(C147=5,I147*Habitat!$M$38,0)</f>
        <v>0</v>
      </c>
      <c r="O147">
        <f>IF(C147=1,I147*Habitat!$I$39,0)+IF(C147=2,I147*Habitat!$J$39,0)+IF(C147=3,I147*Habitat!$K$39,0)+IF(C147=4,I147*Habitat!$L$39,0)+IF(C147=5,I147*Habitat!$M$39,0)</f>
        <v>0</v>
      </c>
    </row>
    <row r="148" spans="1:15">
      <c r="A148">
        <f t="shared" si="28"/>
        <v>137</v>
      </c>
      <c r="C148" s="5">
        <v>3</v>
      </c>
      <c r="D148" s="56">
        <f>D147+Habitat!$C$25</f>
        <v>1485</v>
      </c>
      <c r="E148" s="48">
        <f t="shared" si="21"/>
        <v>710</v>
      </c>
      <c r="F148" s="3">
        <f>Habitat!$D$22*D148</f>
        <v>18.305660377358489</v>
      </c>
      <c r="G148" s="3">
        <f t="shared" si="26"/>
        <v>0</v>
      </c>
      <c r="H148" s="3">
        <f>IF(D148&lt;$C$7,0,IF(D148&gt;$C$6,0,1))</f>
        <v>0</v>
      </c>
      <c r="I148" s="47">
        <f t="shared" si="23"/>
        <v>0</v>
      </c>
      <c r="J148" s="48">
        <f>IF(C148=1,I148*Habitat!$I$36,0)+IF(C148=2,I148*Habitat!$J$36,0)+IF(C148=3,I148*Habitat!$K$36,0)+IF(C148=4,I148*Habitat!$L$36,0)+IF(C148=5,I148*Habitat!$M$36,0)</f>
        <v>0</v>
      </c>
      <c r="K148" s="48">
        <f>IF(C148=1,I148*Habitat!$I$35,0)+IF(C148=2,I148*Habitat!$J$35,0)+IF(C148=3,I148*Habitat!$K$35,0)+IF(C148=4,I148*Habitat!$L$35,0)+IF(C148=5,I148*Habitat!$M$35,0)</f>
        <v>0</v>
      </c>
      <c r="L148" s="48">
        <f>IF(C148=1,I148*Habitat!$I$34,0)+IF(C148=2,I148*Habitat!$J$34,0)+IF(C148=3,I148*Habitat!$K$34,0)+IF(C148=4,I148*Habitat!$L$34,0)+IF(C148=5,I148*Habitat!$M$34,0)</f>
        <v>0</v>
      </c>
      <c r="M148" s="48">
        <f>IF(C148=1,I148*Habitat!$I$37,0)+IF(C148=2,I148*Habitat!$J$37,0)+IF(C148=3,I148*Habitat!$K$37,0)+IF(C148=4,I148*Habitat!$L$37,0)+IF(C148=5,I148*Habitat!$M$37,0)</f>
        <v>0</v>
      </c>
      <c r="N148" s="48">
        <f>IF(C148=1,I148*Habitat!$I$38,0)+IF(C148=2,I148*Habitat!$J$38,0)+IF(C148=3,I148*Habitat!$K$38,0)+IF(C148=4,I148*Habitat!$L$38,0)+IF(C148=5,I148*Habitat!$M$38,0)</f>
        <v>0</v>
      </c>
      <c r="O148">
        <f>IF(C148=1,I148*Habitat!$I$39,0)+IF(C148=2,I148*Habitat!$J$39,0)+IF(C148=3,I148*Habitat!$K$39,0)+IF(C148=4,I148*Habitat!$L$39,0)+IF(C148=5,I148*Habitat!$M$39,0)</f>
        <v>0</v>
      </c>
    </row>
    <row r="149" spans="1:15">
      <c r="A149">
        <f t="shared" si="28"/>
        <v>138</v>
      </c>
      <c r="C149" s="5">
        <v>3</v>
      </c>
      <c r="D149" s="56">
        <f>D148+Habitat!$C$25</f>
        <v>1490</v>
      </c>
      <c r="E149" s="48">
        <f t="shared" si="21"/>
        <v>715</v>
      </c>
      <c r="F149" s="3">
        <f>Habitat!$D$22*D149</f>
        <v>18.367295597484276</v>
      </c>
      <c r="G149" s="3">
        <f t="shared" si="26"/>
        <v>0</v>
      </c>
      <c r="H149" s="3">
        <f>IF(D149&lt;$C$7,0,IF(D149&gt;$C$6,0,1))</f>
        <v>0</v>
      </c>
      <c r="I149" s="47">
        <f t="shared" si="23"/>
        <v>0</v>
      </c>
      <c r="J149" s="48">
        <f>IF(C149=1,I149*Habitat!$I$36,0)+IF(C149=2,I149*Habitat!$J$36,0)+IF(C149=3,I149*Habitat!$K$36,0)+IF(C149=4,I149*Habitat!$L$36,0)+IF(C149=5,I149*Habitat!$M$36,0)</f>
        <v>0</v>
      </c>
      <c r="K149" s="48">
        <f>IF(C149=1,I149*Habitat!$I$35,0)+IF(C149=2,I149*Habitat!$J$35,0)+IF(C149=3,I149*Habitat!$K$35,0)+IF(C149=4,I149*Habitat!$L$35,0)+IF(C149=5,I149*Habitat!$M$35,0)</f>
        <v>0</v>
      </c>
      <c r="L149" s="48">
        <f>IF(C149=1,I149*Habitat!$I$34,0)+IF(C149=2,I149*Habitat!$J$34,0)+IF(C149=3,I149*Habitat!$K$34,0)+IF(C149=4,I149*Habitat!$L$34,0)+IF(C149=5,I149*Habitat!$M$34,0)</f>
        <v>0</v>
      </c>
      <c r="M149" s="48">
        <f>IF(C149=1,I149*Habitat!$I$37,0)+IF(C149=2,I149*Habitat!$J$37,0)+IF(C149=3,I149*Habitat!$K$37,0)+IF(C149=4,I149*Habitat!$L$37,0)+IF(C149=5,I149*Habitat!$M$37,0)</f>
        <v>0</v>
      </c>
      <c r="N149" s="48">
        <f>IF(C149=1,I149*Habitat!$I$38,0)+IF(C149=2,I149*Habitat!$J$38,0)+IF(C149=3,I149*Habitat!$K$38,0)+IF(C149=4,I149*Habitat!$L$38,0)+IF(C149=5,I149*Habitat!$M$38,0)</f>
        <v>0</v>
      </c>
      <c r="O149">
        <f>IF(C149=1,I149*Habitat!$I$39,0)+IF(C149=2,I149*Habitat!$J$39,0)+IF(C149=3,I149*Habitat!$K$39,0)+IF(C149=4,I149*Habitat!$L$39,0)+IF(C149=5,I149*Habitat!$M$39,0)</f>
        <v>0</v>
      </c>
    </row>
    <row r="150" spans="1:15">
      <c r="A150">
        <f t="shared" si="28"/>
        <v>139</v>
      </c>
      <c r="C150" s="5">
        <v>3</v>
      </c>
      <c r="D150" s="56">
        <f>D149+Habitat!$C$25</f>
        <v>1495</v>
      </c>
      <c r="E150" s="48">
        <f t="shared" si="21"/>
        <v>720</v>
      </c>
      <c r="F150" s="3">
        <f>Habitat!$D$22*D150</f>
        <v>18.428930817610063</v>
      </c>
      <c r="G150" s="3">
        <f t="shared" si="26"/>
        <v>0</v>
      </c>
      <c r="H150" s="3">
        <f>IF(D150&lt;$C$7,0,IF(D150&gt;$C$6,0,1))</f>
        <v>0</v>
      </c>
      <c r="I150" s="47">
        <f t="shared" si="23"/>
        <v>0</v>
      </c>
      <c r="J150" s="48">
        <f>IF(C150=1,I150*Habitat!$I$36,0)+IF(C150=2,I150*Habitat!$J$36,0)+IF(C150=3,I150*Habitat!$K$36,0)+IF(C150=4,I150*Habitat!$L$36,0)+IF(C150=5,I150*Habitat!$M$36,0)</f>
        <v>0</v>
      </c>
      <c r="K150" s="48">
        <f>IF(C150=1,I150*Habitat!$I$35,0)+IF(C150=2,I150*Habitat!$J$35,0)+IF(C150=3,I150*Habitat!$K$35,0)+IF(C150=4,I150*Habitat!$L$35,0)+IF(C150=5,I150*Habitat!$M$35,0)</f>
        <v>0</v>
      </c>
      <c r="L150" s="48">
        <f>IF(C150=1,I150*Habitat!$I$34,0)+IF(C150=2,I150*Habitat!$J$34,0)+IF(C150=3,I150*Habitat!$K$34,0)+IF(C150=4,I150*Habitat!$L$34,0)+IF(C150=5,I150*Habitat!$M$34,0)</f>
        <v>0</v>
      </c>
      <c r="M150" s="48">
        <f>IF(C150=1,I150*Habitat!$I$37,0)+IF(C150=2,I150*Habitat!$J$37,0)+IF(C150=3,I150*Habitat!$K$37,0)+IF(C150=4,I150*Habitat!$L$37,0)+IF(C150=5,I150*Habitat!$M$37,0)</f>
        <v>0</v>
      </c>
      <c r="N150" s="48">
        <f>IF(C150=1,I150*Habitat!$I$38,0)+IF(C150=2,I150*Habitat!$J$38,0)+IF(C150=3,I150*Habitat!$K$38,0)+IF(C150=4,I150*Habitat!$L$38,0)+IF(C150=5,I150*Habitat!$M$38,0)</f>
        <v>0</v>
      </c>
      <c r="O150">
        <f>IF(C150=1,I150*Habitat!$I$39,0)+IF(C150=2,I150*Habitat!$J$39,0)+IF(C150=3,I150*Habitat!$K$39,0)+IF(C150=4,I150*Habitat!$L$39,0)+IF(C150=5,I150*Habitat!$M$39,0)</f>
        <v>0</v>
      </c>
    </row>
    <row r="151" spans="1:15">
      <c r="A151">
        <f t="shared" si="28"/>
        <v>140</v>
      </c>
      <c r="C151" s="5">
        <v>3</v>
      </c>
      <c r="D151" s="56">
        <f>D150+Habitat!$C$25</f>
        <v>1500</v>
      </c>
      <c r="E151" s="48">
        <f t="shared" si="21"/>
        <v>725</v>
      </c>
      <c r="F151" s="3">
        <f>Habitat!$D$22*D151</f>
        <v>18.490566037735849</v>
      </c>
      <c r="G151" s="3">
        <f t="shared" si="26"/>
        <v>0</v>
      </c>
      <c r="H151" s="3">
        <f>IF(D151&lt;$C$7,0,IF(D151&gt;$C$6,0,1))</f>
        <v>0</v>
      </c>
      <c r="I151" s="47">
        <f t="shared" si="23"/>
        <v>0</v>
      </c>
      <c r="J151" s="48">
        <f>IF(C151=1,I151*Habitat!$I$36,0)+IF(C151=2,I151*Habitat!$J$36,0)+IF(C151=3,I151*Habitat!$K$36,0)+IF(C151=4,I151*Habitat!$L$36,0)+IF(C151=5,I151*Habitat!$M$36,0)</f>
        <v>0</v>
      </c>
      <c r="K151" s="48">
        <f>IF(C151=1,I151*Habitat!$I$35,0)+IF(C151=2,I151*Habitat!$J$35,0)+IF(C151=3,I151*Habitat!$K$35,0)+IF(C151=4,I151*Habitat!$L$35,0)+IF(C151=5,I151*Habitat!$M$35,0)</f>
        <v>0</v>
      </c>
      <c r="L151" s="48">
        <f>IF(C151=1,I151*Habitat!$I$34,0)+IF(C151=2,I151*Habitat!$J$34,0)+IF(C151=3,I151*Habitat!$K$34,0)+IF(C151=4,I151*Habitat!$L$34,0)+IF(C151=5,I151*Habitat!$M$34,0)</f>
        <v>0</v>
      </c>
      <c r="M151" s="48">
        <f>IF(C151=1,I151*Habitat!$I$37,0)+IF(C151=2,I151*Habitat!$J$37,0)+IF(C151=3,I151*Habitat!$K$37,0)+IF(C151=4,I151*Habitat!$L$37,0)+IF(C151=5,I151*Habitat!$M$37,0)</f>
        <v>0</v>
      </c>
      <c r="N151" s="48">
        <f>IF(C151=1,I151*Habitat!$I$38,0)+IF(C151=2,I151*Habitat!$J$38,0)+IF(C151=3,I151*Habitat!$K$38,0)+IF(C151=4,I151*Habitat!$L$38,0)+IF(C151=5,I151*Habitat!$M$38,0)</f>
        <v>0</v>
      </c>
      <c r="O151">
        <f>IF(C151=1,I151*Habitat!$I$39,0)+IF(C151=2,I151*Habitat!$J$39,0)+IF(C151=3,I151*Habitat!$K$39,0)+IF(C151=4,I151*Habitat!$L$39,0)+IF(C151=5,I151*Habitat!$M$39,0)</f>
        <v>0</v>
      </c>
    </row>
    <row r="152" spans="1:15">
      <c r="A152">
        <f t="shared" si="28"/>
        <v>141</v>
      </c>
      <c r="C152" s="5">
        <v>3</v>
      </c>
      <c r="D152" s="56">
        <f>D151+Habitat!$C$25</f>
        <v>1505</v>
      </c>
      <c r="E152" s="48">
        <f t="shared" si="21"/>
        <v>730</v>
      </c>
      <c r="F152" s="3">
        <f>Habitat!$D$22*D152</f>
        <v>18.552201257861636</v>
      </c>
      <c r="G152" s="3">
        <f t="shared" si="26"/>
        <v>0</v>
      </c>
      <c r="H152" s="3">
        <f>IF(D152&lt;$C$7,0,IF(D152&gt;$C$6,0,1))</f>
        <v>0</v>
      </c>
      <c r="I152" s="47">
        <f t="shared" si="23"/>
        <v>0</v>
      </c>
      <c r="J152" s="48">
        <f>IF(C152=1,I152*Habitat!$I$36,0)+IF(C152=2,I152*Habitat!$J$36,0)+IF(C152=3,I152*Habitat!$K$36,0)+IF(C152=4,I152*Habitat!$L$36,0)+IF(C152=5,I152*Habitat!$M$36,0)</f>
        <v>0</v>
      </c>
      <c r="K152" s="48">
        <f>IF(C152=1,I152*Habitat!$I$35,0)+IF(C152=2,I152*Habitat!$J$35,0)+IF(C152=3,I152*Habitat!$K$35,0)+IF(C152=4,I152*Habitat!$L$35,0)+IF(C152=5,I152*Habitat!$M$35,0)</f>
        <v>0</v>
      </c>
      <c r="L152" s="48">
        <f>IF(C152=1,I152*Habitat!$I$34,0)+IF(C152=2,I152*Habitat!$J$34,0)+IF(C152=3,I152*Habitat!$K$34,0)+IF(C152=4,I152*Habitat!$L$34,0)+IF(C152=5,I152*Habitat!$M$34,0)</f>
        <v>0</v>
      </c>
      <c r="M152" s="48">
        <f>IF(C152=1,I152*Habitat!$I$37,0)+IF(C152=2,I152*Habitat!$J$37,0)+IF(C152=3,I152*Habitat!$K$37,0)+IF(C152=4,I152*Habitat!$L$37,0)+IF(C152=5,I152*Habitat!$M$37,0)</f>
        <v>0</v>
      </c>
      <c r="N152" s="48">
        <f>IF(C152=1,I152*Habitat!$I$38,0)+IF(C152=2,I152*Habitat!$J$38,0)+IF(C152=3,I152*Habitat!$K$38,0)+IF(C152=4,I152*Habitat!$L$38,0)+IF(C152=5,I152*Habitat!$M$38,0)</f>
        <v>0</v>
      </c>
      <c r="O152">
        <f>IF(C152=1,I152*Habitat!$I$39,0)+IF(C152=2,I152*Habitat!$J$39,0)+IF(C152=3,I152*Habitat!$K$39,0)+IF(C152=4,I152*Habitat!$L$39,0)+IF(C152=5,I152*Habitat!$M$39,0)</f>
        <v>0</v>
      </c>
    </row>
    <row r="153" spans="1:15">
      <c r="A153">
        <f t="shared" si="28"/>
        <v>142</v>
      </c>
      <c r="C153" s="5">
        <v>3</v>
      </c>
      <c r="D153" s="56">
        <f>D152+Habitat!$C$25</f>
        <v>1510</v>
      </c>
      <c r="E153" s="48">
        <f t="shared" si="21"/>
        <v>735</v>
      </c>
      <c r="F153" s="3">
        <f>Habitat!$D$22*D153</f>
        <v>18.613836477987423</v>
      </c>
      <c r="G153" s="3">
        <f t="shared" si="26"/>
        <v>0</v>
      </c>
      <c r="H153" s="3">
        <f>IF(D153&lt;$C$7,0,IF(D153&gt;$C$6,0,1))</f>
        <v>0</v>
      </c>
      <c r="I153" s="47">
        <f t="shared" si="23"/>
        <v>0</v>
      </c>
      <c r="J153" s="48">
        <f>IF(C153=1,I153*Habitat!$I$36,0)+IF(C153=2,I153*Habitat!$J$36,0)+IF(C153=3,I153*Habitat!$K$36,0)+IF(C153=4,I153*Habitat!$L$36,0)+IF(C153=5,I153*Habitat!$M$36,0)</f>
        <v>0</v>
      </c>
      <c r="K153" s="48">
        <f>IF(C153=1,I153*Habitat!$I$35,0)+IF(C153=2,I153*Habitat!$J$35,0)+IF(C153=3,I153*Habitat!$K$35,0)+IF(C153=4,I153*Habitat!$L$35,0)+IF(C153=5,I153*Habitat!$M$35,0)</f>
        <v>0</v>
      </c>
      <c r="L153" s="48">
        <f>IF(C153=1,I153*Habitat!$I$34,0)+IF(C153=2,I153*Habitat!$J$34,0)+IF(C153=3,I153*Habitat!$K$34,0)+IF(C153=4,I153*Habitat!$L$34,0)+IF(C153=5,I153*Habitat!$M$34,0)</f>
        <v>0</v>
      </c>
      <c r="M153" s="48">
        <f>IF(C153=1,I153*Habitat!$I$37,0)+IF(C153=2,I153*Habitat!$J$37,0)+IF(C153=3,I153*Habitat!$K$37,0)+IF(C153=4,I153*Habitat!$L$37,0)+IF(C153=5,I153*Habitat!$M$37,0)</f>
        <v>0</v>
      </c>
      <c r="N153" s="48">
        <f>IF(C153=1,I153*Habitat!$I$38,0)+IF(C153=2,I153*Habitat!$J$38,0)+IF(C153=3,I153*Habitat!$K$38,0)+IF(C153=4,I153*Habitat!$L$38,0)+IF(C153=5,I153*Habitat!$M$38,0)</f>
        <v>0</v>
      </c>
      <c r="O153">
        <f>IF(C153=1,I153*Habitat!$I$39,0)+IF(C153=2,I153*Habitat!$J$39,0)+IF(C153=3,I153*Habitat!$K$39,0)+IF(C153=4,I153*Habitat!$L$39,0)+IF(C153=5,I153*Habitat!$M$39,0)</f>
        <v>0</v>
      </c>
    </row>
    <row r="154" spans="1:15">
      <c r="A154">
        <f t="shared" ref="A154:A158" si="29">A153+1</f>
        <v>143</v>
      </c>
      <c r="C154" s="5">
        <v>3</v>
      </c>
      <c r="D154" s="56">
        <f>D153+Habitat!$C$25</f>
        <v>1515</v>
      </c>
      <c r="E154" s="48">
        <f t="shared" si="21"/>
        <v>740</v>
      </c>
      <c r="F154" s="3">
        <f>Habitat!$D$22*D154</f>
        <v>18.675471698113206</v>
      </c>
      <c r="G154" s="3">
        <f t="shared" si="26"/>
        <v>0</v>
      </c>
      <c r="H154" s="3">
        <f>IF(D154&lt;$C$7,0,IF(D154&gt;$C$6,0,1))</f>
        <v>0</v>
      </c>
      <c r="I154" s="47">
        <f t="shared" si="23"/>
        <v>0</v>
      </c>
      <c r="J154" s="48">
        <f>IF(C154=1,I154*Habitat!$I$36,0)+IF(C154=2,I154*Habitat!$J$36,0)+IF(C154=3,I154*Habitat!$K$36,0)+IF(C154=4,I154*Habitat!$L$36,0)+IF(C154=5,I154*Habitat!$M$36,0)</f>
        <v>0</v>
      </c>
      <c r="K154" s="48">
        <f>IF(C154=1,I154*Habitat!$I$35,0)+IF(C154=2,I154*Habitat!$J$35,0)+IF(C154=3,I154*Habitat!$K$35,0)+IF(C154=4,I154*Habitat!$L$35,0)+IF(C154=5,I154*Habitat!$M$35,0)</f>
        <v>0</v>
      </c>
      <c r="L154" s="48">
        <f>IF(C154=1,I154*Habitat!$I$34,0)+IF(C154=2,I154*Habitat!$J$34,0)+IF(C154=3,I154*Habitat!$K$34,0)+IF(C154=4,I154*Habitat!$L$34,0)+IF(C154=5,I154*Habitat!$M$34,0)</f>
        <v>0</v>
      </c>
      <c r="M154" s="48">
        <f>IF(C154=1,I154*Habitat!$I$37,0)+IF(C154=2,I154*Habitat!$J$37,0)+IF(C154=3,I154*Habitat!$K$37,0)+IF(C154=4,I154*Habitat!$L$37,0)+IF(C154=5,I154*Habitat!$M$37,0)</f>
        <v>0</v>
      </c>
      <c r="N154" s="48">
        <f>IF(C154=1,I154*Habitat!$I$38,0)+IF(C154=2,I154*Habitat!$J$38,0)+IF(C154=3,I154*Habitat!$K$38,0)+IF(C154=4,I154*Habitat!$L$38,0)+IF(C154=5,I154*Habitat!$M$38,0)</f>
        <v>0</v>
      </c>
      <c r="O154">
        <f>IF(C154=1,I154*Habitat!$I$39,0)+IF(C154=2,I154*Habitat!$J$39,0)+IF(C154=3,I154*Habitat!$K$39,0)+IF(C154=4,I154*Habitat!$L$39,0)+IF(C154=5,I154*Habitat!$M$39,0)</f>
        <v>0</v>
      </c>
    </row>
    <row r="155" spans="1:15">
      <c r="A155">
        <f t="shared" si="29"/>
        <v>144</v>
      </c>
      <c r="C155" s="5">
        <v>3</v>
      </c>
      <c r="D155" s="56">
        <f>D154+Habitat!$C$25</f>
        <v>1520</v>
      </c>
      <c r="E155" s="48">
        <f t="shared" si="21"/>
        <v>745</v>
      </c>
      <c r="F155" s="3">
        <f>Habitat!$D$22*D155</f>
        <v>18.737106918238993</v>
      </c>
      <c r="G155" s="3">
        <f t="shared" si="26"/>
        <v>0</v>
      </c>
      <c r="H155" s="3">
        <f>IF(D155&lt;$C$7,0,IF(D155&gt;$C$6,0,1))</f>
        <v>0</v>
      </c>
      <c r="I155" s="47">
        <f t="shared" si="23"/>
        <v>0</v>
      </c>
      <c r="J155" s="48">
        <f>IF(C155=1,I155*Habitat!$I$36,0)+IF(C155=2,I155*Habitat!$J$36,0)+IF(C155=3,I155*Habitat!$K$36,0)+IF(C155=4,I155*Habitat!$L$36,0)+IF(C155=5,I155*Habitat!$M$36,0)</f>
        <v>0</v>
      </c>
      <c r="K155" s="48">
        <f>IF(C155=1,I155*Habitat!$I$35,0)+IF(C155=2,I155*Habitat!$J$35,0)+IF(C155=3,I155*Habitat!$K$35,0)+IF(C155=4,I155*Habitat!$L$35,0)+IF(C155=5,I155*Habitat!$M$35,0)</f>
        <v>0</v>
      </c>
      <c r="L155" s="48">
        <f>IF(C155=1,I155*Habitat!$I$34,0)+IF(C155=2,I155*Habitat!$J$34,0)+IF(C155=3,I155*Habitat!$K$34,0)+IF(C155=4,I155*Habitat!$L$34,0)+IF(C155=5,I155*Habitat!$M$34,0)</f>
        <v>0</v>
      </c>
      <c r="M155" s="48">
        <f>IF(C155=1,I155*Habitat!$I$37,0)+IF(C155=2,I155*Habitat!$J$37,0)+IF(C155=3,I155*Habitat!$K$37,0)+IF(C155=4,I155*Habitat!$L$37,0)+IF(C155=5,I155*Habitat!$M$37,0)</f>
        <v>0</v>
      </c>
      <c r="N155" s="48">
        <f>IF(C155=1,I155*Habitat!$I$38,0)+IF(C155=2,I155*Habitat!$J$38,0)+IF(C155=3,I155*Habitat!$K$38,0)+IF(C155=4,I155*Habitat!$L$38,0)+IF(C155=5,I155*Habitat!$M$38,0)</f>
        <v>0</v>
      </c>
      <c r="O155">
        <f>IF(C155=1,I155*Habitat!$I$39,0)+IF(C155=2,I155*Habitat!$J$39,0)+IF(C155=3,I155*Habitat!$K$39,0)+IF(C155=4,I155*Habitat!$L$39,0)+IF(C155=5,I155*Habitat!$M$39,0)</f>
        <v>0</v>
      </c>
    </row>
    <row r="156" spans="1:15">
      <c r="A156">
        <f t="shared" si="29"/>
        <v>145</v>
      </c>
      <c r="C156" s="5">
        <v>3</v>
      </c>
      <c r="D156" s="56">
        <f>D155+Habitat!$C$25</f>
        <v>1525</v>
      </c>
      <c r="E156" s="48">
        <f t="shared" si="21"/>
        <v>750</v>
      </c>
      <c r="F156" s="3">
        <f>Habitat!$D$22*D156</f>
        <v>18.79874213836478</v>
      </c>
      <c r="G156" s="3">
        <f t="shared" si="26"/>
        <v>0</v>
      </c>
      <c r="H156" s="3">
        <f>IF(D156&lt;$C$7,0,IF(D156&gt;$C$6,0,1))</f>
        <v>0</v>
      </c>
      <c r="I156" s="47">
        <f t="shared" si="23"/>
        <v>0</v>
      </c>
      <c r="J156" s="48">
        <f>IF(C156=1,I156*Habitat!$I$36,0)+IF(C156=2,I156*Habitat!$J$36,0)+IF(C156=3,I156*Habitat!$K$36,0)+IF(C156=4,I156*Habitat!$L$36,0)+IF(C156=5,I156*Habitat!$M$36,0)</f>
        <v>0</v>
      </c>
      <c r="K156" s="48">
        <f>IF(C156=1,I156*Habitat!$I$35,0)+IF(C156=2,I156*Habitat!$J$35,0)+IF(C156=3,I156*Habitat!$K$35,0)+IF(C156=4,I156*Habitat!$L$35,0)+IF(C156=5,I156*Habitat!$M$35,0)</f>
        <v>0</v>
      </c>
      <c r="L156" s="48">
        <f>IF(C156=1,I156*Habitat!$I$34,0)+IF(C156=2,I156*Habitat!$J$34,0)+IF(C156=3,I156*Habitat!$K$34,0)+IF(C156=4,I156*Habitat!$L$34,0)+IF(C156=5,I156*Habitat!$M$34,0)</f>
        <v>0</v>
      </c>
      <c r="M156" s="48">
        <f>IF(C156=1,I156*Habitat!$I$37,0)+IF(C156=2,I156*Habitat!$J$37,0)+IF(C156=3,I156*Habitat!$K$37,0)+IF(C156=4,I156*Habitat!$L$37,0)+IF(C156=5,I156*Habitat!$M$37,0)</f>
        <v>0</v>
      </c>
      <c r="N156" s="48">
        <f>IF(C156=1,I156*Habitat!$I$38,0)+IF(C156=2,I156*Habitat!$J$38,0)+IF(C156=3,I156*Habitat!$K$38,0)+IF(C156=4,I156*Habitat!$L$38,0)+IF(C156=5,I156*Habitat!$M$38,0)</f>
        <v>0</v>
      </c>
      <c r="O156">
        <f>IF(C156=1,I156*Habitat!$I$39,0)+IF(C156=2,I156*Habitat!$J$39,0)+IF(C156=3,I156*Habitat!$K$39,0)+IF(C156=4,I156*Habitat!$L$39,0)+IF(C156=5,I156*Habitat!$M$39,0)</f>
        <v>0</v>
      </c>
    </row>
    <row r="157" spans="1:15">
      <c r="A157">
        <f t="shared" si="29"/>
        <v>146</v>
      </c>
      <c r="C157" s="5">
        <v>3</v>
      </c>
      <c r="D157" s="56">
        <f>D156+Habitat!$C$25</f>
        <v>1530</v>
      </c>
      <c r="E157" s="48">
        <f t="shared" si="21"/>
        <v>755</v>
      </c>
      <c r="F157" s="3">
        <f>Habitat!$D$22*D157</f>
        <v>18.860377358490567</v>
      </c>
      <c r="G157" s="3">
        <f t="shared" si="26"/>
        <v>0</v>
      </c>
      <c r="H157" s="3">
        <f>IF(D157&lt;$C$7,0,IF(D157&gt;$C$6,0,1))</f>
        <v>0</v>
      </c>
      <c r="I157" s="47">
        <f t="shared" si="23"/>
        <v>0</v>
      </c>
      <c r="J157" s="48">
        <f>IF(C157=1,I157*Habitat!$I$36,0)+IF(C157=2,I157*Habitat!$J$36,0)+IF(C157=3,I157*Habitat!$K$36,0)+IF(C157=4,I157*Habitat!$L$36,0)+IF(C157=5,I157*Habitat!$M$36,0)</f>
        <v>0</v>
      </c>
      <c r="K157" s="48">
        <f>IF(C157=1,I157*Habitat!$I$35,0)+IF(C157=2,I157*Habitat!$J$35,0)+IF(C157=3,I157*Habitat!$K$35,0)+IF(C157=4,I157*Habitat!$L$35,0)+IF(C157=5,I157*Habitat!$M$35,0)</f>
        <v>0</v>
      </c>
      <c r="L157" s="48">
        <f>IF(C157=1,I157*Habitat!$I$34,0)+IF(C157=2,I157*Habitat!$J$34,0)+IF(C157=3,I157*Habitat!$K$34,0)+IF(C157=4,I157*Habitat!$L$34,0)+IF(C157=5,I157*Habitat!$M$34,0)</f>
        <v>0</v>
      </c>
      <c r="M157" s="48">
        <f>IF(C157=1,I157*Habitat!$I$37,0)+IF(C157=2,I157*Habitat!$J$37,0)+IF(C157=3,I157*Habitat!$K$37,0)+IF(C157=4,I157*Habitat!$L$37,0)+IF(C157=5,I157*Habitat!$M$37,0)</f>
        <v>0</v>
      </c>
      <c r="N157" s="48">
        <f>IF(C157=1,I157*Habitat!$I$38,0)+IF(C157=2,I157*Habitat!$J$38,0)+IF(C157=3,I157*Habitat!$K$38,0)+IF(C157=4,I157*Habitat!$L$38,0)+IF(C157=5,I157*Habitat!$M$38,0)</f>
        <v>0</v>
      </c>
      <c r="O157">
        <f>IF(C157=1,I157*Habitat!$I$39,0)+IF(C157=2,I157*Habitat!$J$39,0)+IF(C157=3,I157*Habitat!$K$39,0)+IF(C157=4,I157*Habitat!$L$39,0)+IF(C157=5,I157*Habitat!$M$39,0)</f>
        <v>0</v>
      </c>
    </row>
    <row r="158" spans="1:15">
      <c r="A158">
        <f t="shared" si="29"/>
        <v>147</v>
      </c>
      <c r="C158" s="5">
        <v>3</v>
      </c>
      <c r="D158" s="56">
        <f>D157+Habitat!$C$25</f>
        <v>1535</v>
      </c>
      <c r="E158" s="48">
        <f t="shared" si="21"/>
        <v>760</v>
      </c>
      <c r="F158" s="3">
        <f>Habitat!$D$22*D158</f>
        <v>18.922012578616354</v>
      </c>
      <c r="G158" s="3">
        <f t="shared" si="26"/>
        <v>0</v>
      </c>
      <c r="H158" s="3">
        <f>IF(D158&lt;$C$7,0,IF(D158&gt;$C$6,0,1))</f>
        <v>0</v>
      </c>
      <c r="I158" s="47">
        <f t="shared" si="23"/>
        <v>0</v>
      </c>
      <c r="J158" s="48">
        <f>IF(C158=1,I158*Habitat!$I$36,0)+IF(C158=2,I158*Habitat!$J$36,0)+IF(C158=3,I158*Habitat!$K$36,0)+IF(C158=4,I158*Habitat!$L$36,0)+IF(C158=5,I158*Habitat!$M$36,0)</f>
        <v>0</v>
      </c>
      <c r="K158" s="48">
        <f>IF(C158=1,I158*Habitat!$I$35,0)+IF(C158=2,I158*Habitat!$J$35,0)+IF(C158=3,I158*Habitat!$K$35,0)+IF(C158=4,I158*Habitat!$L$35,0)+IF(C158=5,I158*Habitat!$M$35,0)</f>
        <v>0</v>
      </c>
      <c r="L158" s="48">
        <f>IF(C158=1,I158*Habitat!$I$34,0)+IF(C158=2,I158*Habitat!$J$34,0)+IF(C158=3,I158*Habitat!$K$34,0)+IF(C158=4,I158*Habitat!$L$34,0)+IF(C158=5,I158*Habitat!$M$34,0)</f>
        <v>0</v>
      </c>
      <c r="M158" s="48">
        <f>IF(C158=1,I158*Habitat!$I$37,0)+IF(C158=2,I158*Habitat!$J$37,0)+IF(C158=3,I158*Habitat!$K$37,0)+IF(C158=4,I158*Habitat!$L$37,0)+IF(C158=5,I158*Habitat!$M$37,0)</f>
        <v>0</v>
      </c>
      <c r="N158" s="48">
        <f>IF(C158=1,I158*Habitat!$I$38,0)+IF(C158=2,I158*Habitat!$J$38,0)+IF(C158=3,I158*Habitat!$K$38,0)+IF(C158=4,I158*Habitat!$L$38,0)+IF(C158=5,I158*Habitat!$M$38,0)</f>
        <v>0</v>
      </c>
      <c r="O158">
        <f>IF(C158=1,I158*Habitat!$I$39,0)+IF(C158=2,I158*Habitat!$J$39,0)+IF(C158=3,I158*Habitat!$K$39,0)+IF(C158=4,I158*Habitat!$L$39,0)+IF(C158=5,I158*Habitat!$M$39,0)</f>
        <v>0</v>
      </c>
    </row>
    <row r="159" spans="1:15">
      <c r="A159">
        <f t="shared" ref="A159:A213" si="30">A158+1</f>
        <v>148</v>
      </c>
      <c r="C159" s="5">
        <v>3</v>
      </c>
      <c r="D159" s="56">
        <f>D158+Habitat!$C$25</f>
        <v>1540</v>
      </c>
      <c r="E159" s="48">
        <f t="shared" si="21"/>
        <v>765</v>
      </c>
      <c r="F159" s="3">
        <f>Habitat!$D$22*D159</f>
        <v>18.983647798742137</v>
      </c>
      <c r="G159" s="3">
        <f t="shared" si="26"/>
        <v>0</v>
      </c>
      <c r="H159" s="3">
        <f>IF(D159&lt;$C$7,0,IF(D159&gt;$C$6,0,1))</f>
        <v>0</v>
      </c>
      <c r="I159" s="47">
        <f t="shared" si="23"/>
        <v>0</v>
      </c>
      <c r="J159" s="48">
        <f>IF(C159=1,I159*Habitat!$I$36,0)+IF(C159=2,I159*Habitat!$J$36,0)+IF(C159=3,I159*Habitat!$K$36,0)+IF(C159=4,I159*Habitat!$L$36,0)+IF(C159=5,I159*Habitat!$M$36,0)</f>
        <v>0</v>
      </c>
      <c r="K159" s="48">
        <f>IF(C159=1,I159*Habitat!$I$35,0)+IF(C159=2,I159*Habitat!$J$35,0)+IF(C159=3,I159*Habitat!$K$35,0)+IF(C159=4,I159*Habitat!$L$35,0)+IF(C159=5,I159*Habitat!$M$35,0)</f>
        <v>0</v>
      </c>
      <c r="L159" s="48">
        <f>IF(C159=1,I159*Habitat!$I$34,0)+IF(C159=2,I159*Habitat!$J$34,0)+IF(C159=3,I159*Habitat!$K$34,0)+IF(C159=4,I159*Habitat!$L$34,0)+IF(C159=5,I159*Habitat!$M$34,0)</f>
        <v>0</v>
      </c>
      <c r="M159" s="48">
        <f>IF(C159=1,I159*Habitat!$I$37,0)+IF(C159=2,I159*Habitat!$J$37,0)+IF(C159=3,I159*Habitat!$K$37,0)+IF(C159=4,I159*Habitat!$L$37,0)+IF(C159=5,I159*Habitat!$M$37,0)</f>
        <v>0</v>
      </c>
      <c r="N159" s="48">
        <f>IF(C159=1,I159*Habitat!$I$38,0)+IF(C159=2,I159*Habitat!$J$38,0)+IF(C159=3,I159*Habitat!$K$38,0)+IF(C159=4,I159*Habitat!$L$38,0)+IF(C159=5,I159*Habitat!$M$38,0)</f>
        <v>0</v>
      </c>
      <c r="O159">
        <f>IF(C159=1,I159*Habitat!$I$39,0)+IF(C159=2,I159*Habitat!$J$39,0)+IF(C159=3,I159*Habitat!$K$39,0)+IF(C159=4,I159*Habitat!$L$39,0)+IF(C159=5,I159*Habitat!$M$39,0)</f>
        <v>0</v>
      </c>
    </row>
    <row r="160" spans="1:15">
      <c r="A160">
        <f t="shared" si="30"/>
        <v>149</v>
      </c>
      <c r="C160" s="5">
        <v>3</v>
      </c>
      <c r="D160" s="56">
        <f>D159+Habitat!$C$25</f>
        <v>1545</v>
      </c>
      <c r="E160" s="48">
        <f t="shared" si="21"/>
        <v>770</v>
      </c>
      <c r="F160" s="3">
        <f>Habitat!$D$22*D160</f>
        <v>19.045283018867924</v>
      </c>
      <c r="G160" s="3">
        <f t="shared" si="26"/>
        <v>0</v>
      </c>
      <c r="H160" s="3">
        <f>IF(D160&lt;$C$7,0,IF(D160&gt;$C$6,0,1))</f>
        <v>0</v>
      </c>
      <c r="I160" s="47">
        <f t="shared" si="23"/>
        <v>0</v>
      </c>
      <c r="J160" s="48">
        <f>IF(C160=1,I160*Habitat!$I$36,0)+IF(C160=2,I160*Habitat!$J$36,0)+IF(C160=3,I160*Habitat!$K$36,0)+IF(C160=4,I160*Habitat!$L$36,0)+IF(C160=5,I160*Habitat!$M$36,0)</f>
        <v>0</v>
      </c>
      <c r="K160" s="48">
        <f>IF(C160=1,I160*Habitat!$I$35,0)+IF(C160=2,I160*Habitat!$J$35,0)+IF(C160=3,I160*Habitat!$K$35,0)+IF(C160=4,I160*Habitat!$L$35,0)+IF(C160=5,I160*Habitat!$M$35,0)</f>
        <v>0</v>
      </c>
      <c r="L160" s="48">
        <f>IF(C160=1,I160*Habitat!$I$34,0)+IF(C160=2,I160*Habitat!$J$34,0)+IF(C160=3,I160*Habitat!$K$34,0)+IF(C160=4,I160*Habitat!$L$34,0)+IF(C160=5,I160*Habitat!$M$34,0)</f>
        <v>0</v>
      </c>
      <c r="M160" s="48">
        <f>IF(C160=1,I160*Habitat!$I$37,0)+IF(C160=2,I160*Habitat!$J$37,0)+IF(C160=3,I160*Habitat!$K$37,0)+IF(C160=4,I160*Habitat!$L$37,0)+IF(C160=5,I160*Habitat!$M$37,0)</f>
        <v>0</v>
      </c>
      <c r="N160" s="48">
        <f>IF(C160=1,I160*Habitat!$I$38,0)+IF(C160=2,I160*Habitat!$J$38,0)+IF(C160=3,I160*Habitat!$K$38,0)+IF(C160=4,I160*Habitat!$L$38,0)+IF(C160=5,I160*Habitat!$M$38,0)</f>
        <v>0</v>
      </c>
      <c r="O160">
        <f>IF(C160=1,I160*Habitat!$I$39,0)+IF(C160=2,I160*Habitat!$J$39,0)+IF(C160=3,I160*Habitat!$K$39,0)+IF(C160=4,I160*Habitat!$L$39,0)+IF(C160=5,I160*Habitat!$M$39,0)</f>
        <v>0</v>
      </c>
    </row>
    <row r="161" spans="1:15">
      <c r="A161">
        <f t="shared" si="30"/>
        <v>150</v>
      </c>
      <c r="C161" s="5">
        <v>3</v>
      </c>
      <c r="D161" s="56">
        <f>D160+Habitat!$C$25</f>
        <v>1550</v>
      </c>
      <c r="E161" s="48">
        <f t="shared" si="21"/>
        <v>775</v>
      </c>
      <c r="F161" s="3">
        <f>Habitat!$D$22*D161</f>
        <v>19.10691823899371</v>
      </c>
      <c r="G161" s="3">
        <f t="shared" si="26"/>
        <v>0</v>
      </c>
      <c r="H161" s="3">
        <f>IF(D161&lt;$C$7,0,IF(D161&gt;$C$6,0,1))</f>
        <v>0</v>
      </c>
      <c r="I161" s="47">
        <f t="shared" si="23"/>
        <v>0</v>
      </c>
      <c r="J161" s="48">
        <f>IF(C161=1,I161*Habitat!$I$36,0)+IF(C161=2,I161*Habitat!$J$36,0)+IF(C161=3,I161*Habitat!$K$36,0)+IF(C161=4,I161*Habitat!$L$36,0)+IF(C161=5,I161*Habitat!$M$36,0)</f>
        <v>0</v>
      </c>
      <c r="K161" s="48">
        <f>IF(C161=1,I161*Habitat!$I$35,0)+IF(C161=2,I161*Habitat!$J$35,0)+IF(C161=3,I161*Habitat!$K$35,0)+IF(C161=4,I161*Habitat!$L$35,0)+IF(C161=5,I161*Habitat!$M$35,0)</f>
        <v>0</v>
      </c>
      <c r="L161" s="48">
        <f>IF(C161=1,I161*Habitat!$I$34,0)+IF(C161=2,I161*Habitat!$J$34,0)+IF(C161=3,I161*Habitat!$K$34,0)+IF(C161=4,I161*Habitat!$L$34,0)+IF(C161=5,I161*Habitat!$M$34,0)</f>
        <v>0</v>
      </c>
      <c r="M161" s="48">
        <f>IF(C161=1,I161*Habitat!$I$37,0)+IF(C161=2,I161*Habitat!$J$37,0)+IF(C161=3,I161*Habitat!$K$37,0)+IF(C161=4,I161*Habitat!$L$37,0)+IF(C161=5,I161*Habitat!$M$37,0)</f>
        <v>0</v>
      </c>
      <c r="N161" s="48">
        <f>IF(C161=1,I161*Habitat!$I$38,0)+IF(C161=2,I161*Habitat!$J$38,0)+IF(C161=3,I161*Habitat!$K$38,0)+IF(C161=4,I161*Habitat!$L$38,0)+IF(C161=5,I161*Habitat!$M$38,0)</f>
        <v>0</v>
      </c>
      <c r="O161">
        <f>IF(C161=1,I161*Habitat!$I$39,0)+IF(C161=2,I161*Habitat!$J$39,0)+IF(C161=3,I161*Habitat!$K$39,0)+IF(C161=4,I161*Habitat!$L$39,0)+IF(C161=5,I161*Habitat!$M$39,0)</f>
        <v>0</v>
      </c>
    </row>
    <row r="162" spans="1:15">
      <c r="A162">
        <f t="shared" si="30"/>
        <v>151</v>
      </c>
      <c r="C162" s="5">
        <v>3</v>
      </c>
      <c r="D162" s="56">
        <f>D161+Habitat!$C$25</f>
        <v>1555</v>
      </c>
      <c r="E162" s="48">
        <f t="shared" si="21"/>
        <v>780</v>
      </c>
      <c r="F162" s="3">
        <f>Habitat!$D$22*D162</f>
        <v>19.168553459119497</v>
      </c>
      <c r="G162" s="3">
        <f t="shared" si="26"/>
        <v>0</v>
      </c>
      <c r="H162" s="3">
        <f>IF(D162&lt;$C$7,0,IF(D162&gt;$C$6,0,1))</f>
        <v>0</v>
      </c>
      <c r="I162" s="47">
        <f t="shared" si="23"/>
        <v>0</v>
      </c>
      <c r="J162" s="48">
        <f>IF(C162=1,I162*Habitat!$I$36,0)+IF(C162=2,I162*Habitat!$J$36,0)+IF(C162=3,I162*Habitat!$K$36,0)+IF(C162=4,I162*Habitat!$L$36,0)+IF(C162=5,I162*Habitat!$M$36,0)</f>
        <v>0</v>
      </c>
      <c r="K162" s="48">
        <f>IF(C162=1,I162*Habitat!$I$35,0)+IF(C162=2,I162*Habitat!$J$35,0)+IF(C162=3,I162*Habitat!$K$35,0)+IF(C162=4,I162*Habitat!$L$35,0)+IF(C162=5,I162*Habitat!$M$35,0)</f>
        <v>0</v>
      </c>
      <c r="L162" s="48">
        <f>IF(C162=1,I162*Habitat!$I$34,0)+IF(C162=2,I162*Habitat!$J$34,0)+IF(C162=3,I162*Habitat!$K$34,0)+IF(C162=4,I162*Habitat!$L$34,0)+IF(C162=5,I162*Habitat!$M$34,0)</f>
        <v>0</v>
      </c>
      <c r="M162" s="48">
        <f>IF(C162=1,I162*Habitat!$I$37,0)+IF(C162=2,I162*Habitat!$J$37,0)+IF(C162=3,I162*Habitat!$K$37,0)+IF(C162=4,I162*Habitat!$L$37,0)+IF(C162=5,I162*Habitat!$M$37,0)</f>
        <v>0</v>
      </c>
      <c r="N162" s="48">
        <f>IF(C162=1,I162*Habitat!$I$38,0)+IF(C162=2,I162*Habitat!$J$38,0)+IF(C162=3,I162*Habitat!$K$38,0)+IF(C162=4,I162*Habitat!$L$38,0)+IF(C162=5,I162*Habitat!$M$38,0)</f>
        <v>0</v>
      </c>
      <c r="O162">
        <f>IF(C162=1,I162*Habitat!$I$39,0)+IF(C162=2,I162*Habitat!$J$39,0)+IF(C162=3,I162*Habitat!$K$39,0)+IF(C162=4,I162*Habitat!$L$39,0)+IF(C162=5,I162*Habitat!$M$39,0)</f>
        <v>0</v>
      </c>
    </row>
    <row r="163" spans="1:15">
      <c r="A163">
        <f t="shared" si="30"/>
        <v>152</v>
      </c>
      <c r="C163" s="5">
        <v>3</v>
      </c>
      <c r="D163" s="56">
        <f>D162+Habitat!$C$25</f>
        <v>1560</v>
      </c>
      <c r="E163" s="48">
        <f t="shared" si="21"/>
        <v>785</v>
      </c>
      <c r="F163" s="3">
        <f>Habitat!$D$22*D163</f>
        <v>19.230188679245284</v>
      </c>
      <c r="G163" s="3">
        <f t="shared" si="26"/>
        <v>0</v>
      </c>
      <c r="H163" s="3">
        <f>IF(D163&lt;$C$7,0,IF(D163&gt;$C$6,0,1))</f>
        <v>0</v>
      </c>
      <c r="I163" s="47">
        <f t="shared" si="23"/>
        <v>0</v>
      </c>
      <c r="J163" s="48">
        <f>IF(C163=1,I163*Habitat!$I$36,0)+IF(C163=2,I163*Habitat!$J$36,0)+IF(C163=3,I163*Habitat!$K$36,0)+IF(C163=4,I163*Habitat!$L$36,0)+IF(C163=5,I163*Habitat!$M$36,0)</f>
        <v>0</v>
      </c>
      <c r="K163" s="48">
        <f>IF(C163=1,I163*Habitat!$I$35,0)+IF(C163=2,I163*Habitat!$J$35,0)+IF(C163=3,I163*Habitat!$K$35,0)+IF(C163=4,I163*Habitat!$L$35,0)+IF(C163=5,I163*Habitat!$M$35,0)</f>
        <v>0</v>
      </c>
      <c r="L163" s="48">
        <f>IF(C163=1,I163*Habitat!$I$34,0)+IF(C163=2,I163*Habitat!$J$34,0)+IF(C163=3,I163*Habitat!$K$34,0)+IF(C163=4,I163*Habitat!$L$34,0)+IF(C163=5,I163*Habitat!$M$34,0)</f>
        <v>0</v>
      </c>
      <c r="M163" s="48">
        <f>IF(C163=1,I163*Habitat!$I$37,0)+IF(C163=2,I163*Habitat!$J$37,0)+IF(C163=3,I163*Habitat!$K$37,0)+IF(C163=4,I163*Habitat!$L$37,0)+IF(C163=5,I163*Habitat!$M$37,0)</f>
        <v>0</v>
      </c>
      <c r="N163" s="48">
        <f>IF(C163=1,I163*Habitat!$I$38,0)+IF(C163=2,I163*Habitat!$J$38,0)+IF(C163=3,I163*Habitat!$K$38,0)+IF(C163=4,I163*Habitat!$L$38,0)+IF(C163=5,I163*Habitat!$M$38,0)</f>
        <v>0</v>
      </c>
      <c r="O163">
        <f>IF(C163=1,I163*Habitat!$I$39,0)+IF(C163=2,I163*Habitat!$J$39,0)+IF(C163=3,I163*Habitat!$K$39,0)+IF(C163=4,I163*Habitat!$L$39,0)+IF(C163=5,I163*Habitat!$M$39,0)</f>
        <v>0</v>
      </c>
    </row>
    <row r="164" spans="1:15">
      <c r="A164">
        <f t="shared" si="30"/>
        <v>153</v>
      </c>
      <c r="C164" s="5">
        <v>3</v>
      </c>
      <c r="D164" s="56">
        <f>D163+Habitat!$C$25</f>
        <v>1565</v>
      </c>
      <c r="E164" s="48">
        <f t="shared" si="21"/>
        <v>790</v>
      </c>
      <c r="F164" s="3">
        <f>Habitat!$D$22*D164</f>
        <v>19.291823899371071</v>
      </c>
      <c r="G164" s="3">
        <f t="shared" si="26"/>
        <v>0</v>
      </c>
      <c r="H164" s="3">
        <f>IF(D164&lt;$C$7,0,IF(D164&gt;$C$6,0,1))</f>
        <v>0</v>
      </c>
      <c r="I164" s="47">
        <f t="shared" si="23"/>
        <v>0</v>
      </c>
      <c r="J164" s="48">
        <f>IF(C164=1,I164*Habitat!$I$36,0)+IF(C164=2,I164*Habitat!$J$36,0)+IF(C164=3,I164*Habitat!$K$36,0)+IF(C164=4,I164*Habitat!$L$36,0)+IF(C164=5,I164*Habitat!$M$36,0)</f>
        <v>0</v>
      </c>
      <c r="K164" s="48">
        <f>IF(C164=1,I164*Habitat!$I$35,0)+IF(C164=2,I164*Habitat!$J$35,0)+IF(C164=3,I164*Habitat!$K$35,0)+IF(C164=4,I164*Habitat!$L$35,0)+IF(C164=5,I164*Habitat!$M$35,0)</f>
        <v>0</v>
      </c>
      <c r="L164" s="48">
        <f>IF(C164=1,I164*Habitat!$I$34,0)+IF(C164=2,I164*Habitat!$J$34,0)+IF(C164=3,I164*Habitat!$K$34,0)+IF(C164=4,I164*Habitat!$L$34,0)+IF(C164=5,I164*Habitat!$M$34,0)</f>
        <v>0</v>
      </c>
      <c r="M164" s="48">
        <f>IF(C164=1,I164*Habitat!$I$37,0)+IF(C164=2,I164*Habitat!$J$37,0)+IF(C164=3,I164*Habitat!$K$37,0)+IF(C164=4,I164*Habitat!$L$37,0)+IF(C164=5,I164*Habitat!$M$37,0)</f>
        <v>0</v>
      </c>
      <c r="N164" s="48">
        <f>IF(C164=1,I164*Habitat!$I$38,0)+IF(C164=2,I164*Habitat!$J$38,0)+IF(C164=3,I164*Habitat!$K$38,0)+IF(C164=4,I164*Habitat!$L$38,0)+IF(C164=5,I164*Habitat!$M$38,0)</f>
        <v>0</v>
      </c>
      <c r="O164">
        <f>IF(C164=1,I164*Habitat!$I$39,0)+IF(C164=2,I164*Habitat!$J$39,0)+IF(C164=3,I164*Habitat!$K$39,0)+IF(C164=4,I164*Habitat!$L$39,0)+IF(C164=5,I164*Habitat!$M$39,0)</f>
        <v>0</v>
      </c>
    </row>
    <row r="165" spans="1:15">
      <c r="A165">
        <f t="shared" si="30"/>
        <v>154</v>
      </c>
      <c r="C165" s="5">
        <v>3</v>
      </c>
      <c r="D165" s="56">
        <f>D164+Habitat!$C$25</f>
        <v>1570</v>
      </c>
      <c r="E165" s="48">
        <f t="shared" si="21"/>
        <v>795</v>
      </c>
      <c r="F165" s="3">
        <f>Habitat!$D$22*D165</f>
        <v>19.353459119496854</v>
      </c>
      <c r="G165" s="3">
        <f t="shared" si="26"/>
        <v>0</v>
      </c>
      <c r="H165" s="3">
        <f>IF(D165&lt;$C$7,0,IF(D165&gt;$C$6,0,1))</f>
        <v>0</v>
      </c>
      <c r="I165" s="47">
        <f t="shared" si="23"/>
        <v>0</v>
      </c>
      <c r="J165" s="48">
        <f>IF(C165=1,I165*Habitat!$I$36,0)+IF(C165=2,I165*Habitat!$J$36,0)+IF(C165=3,I165*Habitat!$K$36,0)+IF(C165=4,I165*Habitat!$L$36,0)+IF(C165=5,I165*Habitat!$M$36,0)</f>
        <v>0</v>
      </c>
      <c r="K165" s="48">
        <f>IF(C165=1,I165*Habitat!$I$35,0)+IF(C165=2,I165*Habitat!$J$35,0)+IF(C165=3,I165*Habitat!$K$35,0)+IF(C165=4,I165*Habitat!$L$35,0)+IF(C165=5,I165*Habitat!$M$35,0)</f>
        <v>0</v>
      </c>
      <c r="L165" s="48">
        <f>IF(C165=1,I165*Habitat!$I$34,0)+IF(C165=2,I165*Habitat!$J$34,0)+IF(C165=3,I165*Habitat!$K$34,0)+IF(C165=4,I165*Habitat!$L$34,0)+IF(C165=5,I165*Habitat!$M$34,0)</f>
        <v>0</v>
      </c>
      <c r="M165" s="48">
        <f>IF(C165=1,I165*Habitat!$I$37,0)+IF(C165=2,I165*Habitat!$J$37,0)+IF(C165=3,I165*Habitat!$K$37,0)+IF(C165=4,I165*Habitat!$L$37,0)+IF(C165=5,I165*Habitat!$M$37,0)</f>
        <v>0</v>
      </c>
      <c r="N165" s="48">
        <f>IF(C165=1,I165*Habitat!$I$38,0)+IF(C165=2,I165*Habitat!$J$38,0)+IF(C165=3,I165*Habitat!$K$38,0)+IF(C165=4,I165*Habitat!$L$38,0)+IF(C165=5,I165*Habitat!$M$38,0)</f>
        <v>0</v>
      </c>
      <c r="O165">
        <f>IF(C165=1,I165*Habitat!$I$39,0)+IF(C165=2,I165*Habitat!$J$39,0)+IF(C165=3,I165*Habitat!$K$39,0)+IF(C165=4,I165*Habitat!$L$39,0)+IF(C165=5,I165*Habitat!$M$39,0)</f>
        <v>0</v>
      </c>
    </row>
    <row r="166" spans="1:15">
      <c r="A166">
        <f t="shared" si="30"/>
        <v>155</v>
      </c>
      <c r="C166" s="5">
        <v>3</v>
      </c>
      <c r="D166" s="56">
        <f>D165+Habitat!$C$25</f>
        <v>1575</v>
      </c>
      <c r="E166" s="48">
        <f t="shared" si="21"/>
        <v>800</v>
      </c>
      <c r="F166" s="3">
        <f>Habitat!$D$22*D166</f>
        <v>19.415094339622641</v>
      </c>
      <c r="G166" s="3">
        <f t="shared" si="26"/>
        <v>0</v>
      </c>
      <c r="H166" s="3">
        <f>IF(D166&lt;$C$7,0,IF(D166&gt;$C$6,0,1))</f>
        <v>0</v>
      </c>
      <c r="I166" s="47">
        <f t="shared" si="23"/>
        <v>0</v>
      </c>
      <c r="J166" s="48">
        <f>IF(C166=1,I166*Habitat!$I$36,0)+IF(C166=2,I166*Habitat!$J$36,0)+IF(C166=3,I166*Habitat!$K$36,0)+IF(C166=4,I166*Habitat!$L$36,0)+IF(C166=5,I166*Habitat!$M$36,0)</f>
        <v>0</v>
      </c>
      <c r="K166" s="48">
        <f>IF(C166=1,I166*Habitat!$I$35,0)+IF(C166=2,I166*Habitat!$J$35,0)+IF(C166=3,I166*Habitat!$K$35,0)+IF(C166=4,I166*Habitat!$L$35,0)+IF(C166=5,I166*Habitat!$M$35,0)</f>
        <v>0</v>
      </c>
      <c r="L166" s="48">
        <f>IF(C166=1,I166*Habitat!$I$34,0)+IF(C166=2,I166*Habitat!$J$34,0)+IF(C166=3,I166*Habitat!$K$34,0)+IF(C166=4,I166*Habitat!$L$34,0)+IF(C166=5,I166*Habitat!$M$34,0)</f>
        <v>0</v>
      </c>
      <c r="M166" s="48">
        <f>IF(C166=1,I166*Habitat!$I$37,0)+IF(C166=2,I166*Habitat!$J$37,0)+IF(C166=3,I166*Habitat!$K$37,0)+IF(C166=4,I166*Habitat!$L$37,0)+IF(C166=5,I166*Habitat!$M$37,0)</f>
        <v>0</v>
      </c>
      <c r="N166" s="48">
        <f>IF(C166=1,I166*Habitat!$I$38,0)+IF(C166=2,I166*Habitat!$J$38,0)+IF(C166=3,I166*Habitat!$K$38,0)+IF(C166=4,I166*Habitat!$L$38,0)+IF(C166=5,I166*Habitat!$M$38,0)</f>
        <v>0</v>
      </c>
      <c r="O166">
        <f>IF(C166=1,I166*Habitat!$I$39,0)+IF(C166=2,I166*Habitat!$J$39,0)+IF(C166=3,I166*Habitat!$K$39,0)+IF(C166=4,I166*Habitat!$L$39,0)+IF(C166=5,I166*Habitat!$M$39,0)</f>
        <v>0</v>
      </c>
    </row>
    <row r="167" spans="1:15">
      <c r="A167">
        <f t="shared" si="30"/>
        <v>156</v>
      </c>
      <c r="C167" s="5">
        <v>3</v>
      </c>
      <c r="D167" s="56">
        <f>D166+Habitat!$C$25</f>
        <v>1580</v>
      </c>
      <c r="E167" s="48">
        <f t="shared" si="21"/>
        <v>805</v>
      </c>
      <c r="F167" s="3">
        <f>Habitat!$D$22*D167</f>
        <v>19.476729559748428</v>
      </c>
      <c r="G167" s="3">
        <f t="shared" si="26"/>
        <v>0</v>
      </c>
      <c r="H167" s="3">
        <f>IF(D167&lt;$C$7,0,IF(D167&gt;$C$6,0,1))</f>
        <v>0</v>
      </c>
      <c r="I167" s="47">
        <f t="shared" si="23"/>
        <v>0</v>
      </c>
      <c r="J167" s="48">
        <f>IF(C167=1,I167*Habitat!$I$36,0)+IF(C167=2,I167*Habitat!$J$36,0)+IF(C167=3,I167*Habitat!$K$36,0)+IF(C167=4,I167*Habitat!$L$36,0)+IF(C167=5,I167*Habitat!$M$36,0)</f>
        <v>0</v>
      </c>
      <c r="K167" s="48">
        <f>IF(C167=1,I167*Habitat!$I$35,0)+IF(C167=2,I167*Habitat!$J$35,0)+IF(C167=3,I167*Habitat!$K$35,0)+IF(C167=4,I167*Habitat!$L$35,0)+IF(C167=5,I167*Habitat!$M$35,0)</f>
        <v>0</v>
      </c>
      <c r="L167" s="48">
        <f>IF(C167=1,I167*Habitat!$I$34,0)+IF(C167=2,I167*Habitat!$J$34,0)+IF(C167=3,I167*Habitat!$K$34,0)+IF(C167=4,I167*Habitat!$L$34,0)+IF(C167=5,I167*Habitat!$M$34,0)</f>
        <v>0</v>
      </c>
      <c r="M167" s="48">
        <f>IF(C167=1,I167*Habitat!$I$37,0)+IF(C167=2,I167*Habitat!$J$37,0)+IF(C167=3,I167*Habitat!$K$37,0)+IF(C167=4,I167*Habitat!$L$37,0)+IF(C167=5,I167*Habitat!$M$37,0)</f>
        <v>0</v>
      </c>
      <c r="N167" s="48">
        <f>IF(C167=1,I167*Habitat!$I$38,0)+IF(C167=2,I167*Habitat!$J$38,0)+IF(C167=3,I167*Habitat!$K$38,0)+IF(C167=4,I167*Habitat!$L$38,0)+IF(C167=5,I167*Habitat!$M$38,0)</f>
        <v>0</v>
      </c>
      <c r="O167">
        <f>IF(C167=1,I167*Habitat!$I$39,0)+IF(C167=2,I167*Habitat!$J$39,0)+IF(C167=3,I167*Habitat!$K$39,0)+IF(C167=4,I167*Habitat!$L$39,0)+IF(C167=5,I167*Habitat!$M$39,0)</f>
        <v>0</v>
      </c>
    </row>
    <row r="168" spans="1:15">
      <c r="A168">
        <f t="shared" si="30"/>
        <v>157</v>
      </c>
      <c r="C168" s="5">
        <v>3</v>
      </c>
      <c r="D168" s="56">
        <f>D167+Habitat!$C$25</f>
        <v>1585</v>
      </c>
      <c r="E168" s="48">
        <f t="shared" si="21"/>
        <v>810</v>
      </c>
      <c r="F168" s="3">
        <f>Habitat!$D$22*D168</f>
        <v>19.538364779874215</v>
      </c>
      <c r="G168" s="3">
        <f t="shared" si="26"/>
        <v>0</v>
      </c>
      <c r="H168" s="3">
        <f>IF(D168&lt;$C$7,0,IF(D168&gt;$C$6,0,1))</f>
        <v>0</v>
      </c>
      <c r="I168" s="47">
        <f t="shared" si="23"/>
        <v>0</v>
      </c>
      <c r="J168" s="48">
        <f>IF(C168=1,I168*Habitat!$I$36,0)+IF(C168=2,I168*Habitat!$J$36,0)+IF(C168=3,I168*Habitat!$K$36,0)+IF(C168=4,I168*Habitat!$L$36,0)+IF(C168=5,I168*Habitat!$M$36,0)</f>
        <v>0</v>
      </c>
      <c r="K168" s="48">
        <f>IF(C168=1,I168*Habitat!$I$35,0)+IF(C168=2,I168*Habitat!$J$35,0)+IF(C168=3,I168*Habitat!$K$35,0)+IF(C168=4,I168*Habitat!$L$35,0)+IF(C168=5,I168*Habitat!$M$35,0)</f>
        <v>0</v>
      </c>
      <c r="L168" s="48">
        <f>IF(C168=1,I168*Habitat!$I$34,0)+IF(C168=2,I168*Habitat!$J$34,0)+IF(C168=3,I168*Habitat!$K$34,0)+IF(C168=4,I168*Habitat!$L$34,0)+IF(C168=5,I168*Habitat!$M$34,0)</f>
        <v>0</v>
      </c>
      <c r="M168" s="48">
        <f>IF(C168=1,I168*Habitat!$I$37,0)+IF(C168=2,I168*Habitat!$J$37,0)+IF(C168=3,I168*Habitat!$K$37,0)+IF(C168=4,I168*Habitat!$L$37,0)+IF(C168=5,I168*Habitat!$M$37,0)</f>
        <v>0</v>
      </c>
      <c r="N168" s="48">
        <f>IF(C168=1,I168*Habitat!$I$38,0)+IF(C168=2,I168*Habitat!$J$38,0)+IF(C168=3,I168*Habitat!$K$38,0)+IF(C168=4,I168*Habitat!$L$38,0)+IF(C168=5,I168*Habitat!$M$38,0)</f>
        <v>0</v>
      </c>
      <c r="O168">
        <f>IF(C168=1,I168*Habitat!$I$39,0)+IF(C168=2,I168*Habitat!$J$39,0)+IF(C168=3,I168*Habitat!$K$39,0)+IF(C168=4,I168*Habitat!$L$39,0)+IF(C168=5,I168*Habitat!$M$39,0)</f>
        <v>0</v>
      </c>
    </row>
    <row r="169" spans="1:15">
      <c r="A169">
        <f t="shared" si="30"/>
        <v>158</v>
      </c>
      <c r="C169" s="5">
        <v>3</v>
      </c>
      <c r="D169" s="56">
        <f>D168+Habitat!$C$25</f>
        <v>1590</v>
      </c>
      <c r="E169" s="48">
        <f t="shared" si="21"/>
        <v>815</v>
      </c>
      <c r="F169" s="3">
        <f>Habitat!$D$22*D169</f>
        <v>19.600000000000001</v>
      </c>
      <c r="G169" s="3">
        <f t="shared" si="26"/>
        <v>0</v>
      </c>
      <c r="H169" s="3">
        <f>IF(D169&lt;$C$7,0,IF(D169&gt;$C$6,0,1))</f>
        <v>0</v>
      </c>
      <c r="I169" s="47">
        <f t="shared" si="23"/>
        <v>0</v>
      </c>
      <c r="J169" s="48">
        <f>IF(C169=1,I169*Habitat!$I$36,0)+IF(C169=2,I169*Habitat!$J$36,0)+IF(C169=3,I169*Habitat!$K$36,0)+IF(C169=4,I169*Habitat!$L$36,0)+IF(C169=5,I169*Habitat!$M$36,0)</f>
        <v>0</v>
      </c>
      <c r="K169" s="48">
        <f>IF(C169=1,I169*Habitat!$I$35,0)+IF(C169=2,I169*Habitat!$J$35,0)+IF(C169=3,I169*Habitat!$K$35,0)+IF(C169=4,I169*Habitat!$L$35,0)+IF(C169=5,I169*Habitat!$M$35,0)</f>
        <v>0</v>
      </c>
      <c r="L169" s="48">
        <f>IF(C169=1,I169*Habitat!$I$34,0)+IF(C169=2,I169*Habitat!$J$34,0)+IF(C169=3,I169*Habitat!$K$34,0)+IF(C169=4,I169*Habitat!$L$34,0)+IF(C169=5,I169*Habitat!$M$34,0)</f>
        <v>0</v>
      </c>
      <c r="M169" s="48">
        <f>IF(C169=1,I169*Habitat!$I$37,0)+IF(C169=2,I169*Habitat!$J$37,0)+IF(C169=3,I169*Habitat!$K$37,0)+IF(C169=4,I169*Habitat!$L$37,0)+IF(C169=5,I169*Habitat!$M$37,0)</f>
        <v>0</v>
      </c>
      <c r="N169" s="48">
        <f>IF(C169=1,I169*Habitat!$I$38,0)+IF(C169=2,I169*Habitat!$J$38,0)+IF(C169=3,I169*Habitat!$K$38,0)+IF(C169=4,I169*Habitat!$L$38,0)+IF(C169=5,I169*Habitat!$M$38,0)</f>
        <v>0</v>
      </c>
      <c r="O169">
        <f>IF(C169=1,I169*Habitat!$I$39,0)+IF(C169=2,I169*Habitat!$J$39,0)+IF(C169=3,I169*Habitat!$K$39,0)+IF(C169=4,I169*Habitat!$L$39,0)+IF(C169=5,I169*Habitat!$M$39,0)</f>
        <v>0</v>
      </c>
    </row>
    <row r="170" spans="1:15">
      <c r="A170">
        <f t="shared" si="30"/>
        <v>159</v>
      </c>
      <c r="C170" s="5">
        <v>3</v>
      </c>
      <c r="D170" s="56">
        <f>D169+Habitat!$C$25</f>
        <v>1595</v>
      </c>
      <c r="E170" s="48">
        <f t="shared" si="21"/>
        <v>820</v>
      </c>
      <c r="F170" s="3">
        <f>Habitat!$D$22*D170</f>
        <v>19.661635220125785</v>
      </c>
      <c r="G170" s="3">
        <f t="shared" si="26"/>
        <v>0</v>
      </c>
      <c r="H170" s="3">
        <f>IF(D170&lt;$C$7,0,IF(D170&gt;$C$6,0,1))</f>
        <v>0</v>
      </c>
      <c r="I170" s="47">
        <f t="shared" si="23"/>
        <v>0</v>
      </c>
      <c r="J170" s="48">
        <f>IF(C170=1,I170*Habitat!$I$36,0)+IF(C170=2,I170*Habitat!$J$36,0)+IF(C170=3,I170*Habitat!$K$36,0)+IF(C170=4,I170*Habitat!$L$36,0)+IF(C170=5,I170*Habitat!$M$36,0)</f>
        <v>0</v>
      </c>
      <c r="K170" s="48">
        <f>IF(C170=1,I170*Habitat!$I$35,0)+IF(C170=2,I170*Habitat!$J$35,0)+IF(C170=3,I170*Habitat!$K$35,0)+IF(C170=4,I170*Habitat!$L$35,0)+IF(C170=5,I170*Habitat!$M$35,0)</f>
        <v>0</v>
      </c>
      <c r="L170" s="48">
        <f>IF(C170=1,I170*Habitat!$I$34,0)+IF(C170=2,I170*Habitat!$J$34,0)+IF(C170=3,I170*Habitat!$K$34,0)+IF(C170=4,I170*Habitat!$L$34,0)+IF(C170=5,I170*Habitat!$M$34,0)</f>
        <v>0</v>
      </c>
      <c r="M170" s="48">
        <f>IF(C170=1,I170*Habitat!$I$37,0)+IF(C170=2,I170*Habitat!$J$37,0)+IF(C170=3,I170*Habitat!$K$37,0)+IF(C170=4,I170*Habitat!$L$37,0)+IF(C170=5,I170*Habitat!$M$37,0)</f>
        <v>0</v>
      </c>
      <c r="N170" s="48">
        <f>IF(C170=1,I170*Habitat!$I$38,0)+IF(C170=2,I170*Habitat!$J$38,0)+IF(C170=3,I170*Habitat!$K$38,0)+IF(C170=4,I170*Habitat!$L$38,0)+IF(C170=5,I170*Habitat!$M$38,0)</f>
        <v>0</v>
      </c>
      <c r="O170">
        <f>IF(C170=1,I170*Habitat!$I$39,0)+IF(C170=2,I170*Habitat!$J$39,0)+IF(C170=3,I170*Habitat!$K$39,0)+IF(C170=4,I170*Habitat!$L$39,0)+IF(C170=5,I170*Habitat!$M$39,0)</f>
        <v>0</v>
      </c>
    </row>
    <row r="171" spans="1:15">
      <c r="A171">
        <f t="shared" si="30"/>
        <v>160</v>
      </c>
      <c r="C171" s="5">
        <v>3</v>
      </c>
      <c r="D171" s="56">
        <f>D170+Habitat!$C$25</f>
        <v>1600</v>
      </c>
      <c r="E171" s="48">
        <f t="shared" si="21"/>
        <v>825</v>
      </c>
      <c r="F171" s="3">
        <f>Habitat!$D$22*D171</f>
        <v>19.723270440251572</v>
      </c>
      <c r="G171" s="3">
        <f t="shared" si="26"/>
        <v>0</v>
      </c>
      <c r="H171" s="3">
        <f>IF(D171&lt;$C$7,0,IF(D171&gt;$C$6,0,1))</f>
        <v>0</v>
      </c>
      <c r="I171" s="47">
        <f t="shared" si="23"/>
        <v>0</v>
      </c>
      <c r="J171" s="48">
        <f>IF(C171=1,I171*Habitat!$I$36,0)+IF(C171=2,I171*Habitat!$J$36,0)+IF(C171=3,I171*Habitat!$K$36,0)+IF(C171=4,I171*Habitat!$L$36,0)+IF(C171=5,I171*Habitat!$M$36,0)</f>
        <v>0</v>
      </c>
      <c r="K171" s="48">
        <f>IF(C171=1,I171*Habitat!$I$35,0)+IF(C171=2,I171*Habitat!$J$35,0)+IF(C171=3,I171*Habitat!$K$35,0)+IF(C171=4,I171*Habitat!$L$35,0)+IF(C171=5,I171*Habitat!$M$35,0)</f>
        <v>0</v>
      </c>
      <c r="L171" s="48">
        <f>IF(C171=1,I171*Habitat!$I$34,0)+IF(C171=2,I171*Habitat!$J$34,0)+IF(C171=3,I171*Habitat!$K$34,0)+IF(C171=4,I171*Habitat!$L$34,0)+IF(C171=5,I171*Habitat!$M$34,0)</f>
        <v>0</v>
      </c>
      <c r="M171" s="48">
        <f>IF(C171=1,I171*Habitat!$I$37,0)+IF(C171=2,I171*Habitat!$J$37,0)+IF(C171=3,I171*Habitat!$K$37,0)+IF(C171=4,I171*Habitat!$L$37,0)+IF(C171=5,I171*Habitat!$M$37,0)</f>
        <v>0</v>
      </c>
      <c r="N171" s="48">
        <f>IF(C171=1,I171*Habitat!$I$38,0)+IF(C171=2,I171*Habitat!$J$38,0)+IF(C171=3,I171*Habitat!$K$38,0)+IF(C171=4,I171*Habitat!$L$38,0)+IF(C171=5,I171*Habitat!$M$38,0)</f>
        <v>0</v>
      </c>
      <c r="O171">
        <f>IF(C171=1,I171*Habitat!$I$39,0)+IF(C171=2,I171*Habitat!$J$39,0)+IF(C171=3,I171*Habitat!$K$39,0)+IF(C171=4,I171*Habitat!$L$39,0)+IF(C171=5,I171*Habitat!$M$39,0)</f>
        <v>0</v>
      </c>
    </row>
    <row r="172" spans="1:15">
      <c r="A172">
        <f t="shared" si="30"/>
        <v>161</v>
      </c>
      <c r="C172" s="5">
        <v>3</v>
      </c>
      <c r="D172" s="56">
        <f>D171+Habitat!$C$25</f>
        <v>1605</v>
      </c>
      <c r="E172" s="48">
        <f t="shared" si="21"/>
        <v>830</v>
      </c>
      <c r="F172" s="3">
        <f>Habitat!$D$22*D172</f>
        <v>19.784905660377358</v>
      </c>
      <c r="G172" s="3">
        <f t="shared" si="26"/>
        <v>0</v>
      </c>
      <c r="H172" s="3">
        <f>IF(D172&lt;$C$7,0,IF(D172&gt;$C$6,0,1))</f>
        <v>0</v>
      </c>
      <c r="I172" s="47">
        <f t="shared" si="23"/>
        <v>0</v>
      </c>
      <c r="J172" s="48">
        <f>IF(C172=1,I172*Habitat!$I$36,0)+IF(C172=2,I172*Habitat!$J$36,0)+IF(C172=3,I172*Habitat!$K$36,0)+IF(C172=4,I172*Habitat!$L$36,0)+IF(C172=5,I172*Habitat!$M$36,0)</f>
        <v>0</v>
      </c>
      <c r="K172" s="48">
        <f>IF(C172=1,I172*Habitat!$I$35,0)+IF(C172=2,I172*Habitat!$J$35,0)+IF(C172=3,I172*Habitat!$K$35,0)+IF(C172=4,I172*Habitat!$L$35,0)+IF(C172=5,I172*Habitat!$M$35,0)</f>
        <v>0</v>
      </c>
      <c r="L172" s="48">
        <f>IF(C172=1,I172*Habitat!$I$34,0)+IF(C172=2,I172*Habitat!$J$34,0)+IF(C172=3,I172*Habitat!$K$34,0)+IF(C172=4,I172*Habitat!$L$34,0)+IF(C172=5,I172*Habitat!$M$34,0)</f>
        <v>0</v>
      </c>
      <c r="M172" s="48">
        <f>IF(C172=1,I172*Habitat!$I$37,0)+IF(C172=2,I172*Habitat!$J$37,0)+IF(C172=3,I172*Habitat!$K$37,0)+IF(C172=4,I172*Habitat!$L$37,0)+IF(C172=5,I172*Habitat!$M$37,0)</f>
        <v>0</v>
      </c>
      <c r="N172" s="48">
        <f>IF(C172=1,I172*Habitat!$I$38,0)+IF(C172=2,I172*Habitat!$J$38,0)+IF(C172=3,I172*Habitat!$K$38,0)+IF(C172=4,I172*Habitat!$L$38,0)+IF(C172=5,I172*Habitat!$M$38,0)</f>
        <v>0</v>
      </c>
      <c r="O172">
        <f>IF(C172=1,I172*Habitat!$I$39,0)+IF(C172=2,I172*Habitat!$J$39,0)+IF(C172=3,I172*Habitat!$K$39,0)+IF(C172=4,I172*Habitat!$L$39,0)+IF(C172=5,I172*Habitat!$M$39,0)</f>
        <v>0</v>
      </c>
    </row>
    <row r="173" spans="1:15">
      <c r="A173">
        <f t="shared" si="30"/>
        <v>162</v>
      </c>
      <c r="C173" s="5">
        <v>3</v>
      </c>
      <c r="D173" s="56">
        <f>D172+Habitat!$C$25</f>
        <v>1610</v>
      </c>
      <c r="E173" s="48">
        <f t="shared" si="21"/>
        <v>835</v>
      </c>
      <c r="F173" s="3">
        <f>Habitat!$D$22*D173</f>
        <v>19.846540880503145</v>
      </c>
      <c r="G173" s="3">
        <f t="shared" si="26"/>
        <v>0</v>
      </c>
      <c r="H173" s="3">
        <f>IF(D173&lt;$C$7,0,IF(D173&gt;$C$6,0,1))</f>
        <v>0</v>
      </c>
      <c r="I173" s="47">
        <f t="shared" si="23"/>
        <v>0</v>
      </c>
      <c r="J173" s="48">
        <f>IF(C173=1,I173*Habitat!$I$36,0)+IF(C173=2,I173*Habitat!$J$36,0)+IF(C173=3,I173*Habitat!$K$36,0)+IF(C173=4,I173*Habitat!$L$36,0)+IF(C173=5,I173*Habitat!$M$36,0)</f>
        <v>0</v>
      </c>
      <c r="K173" s="48">
        <f>IF(C173=1,I173*Habitat!$I$35,0)+IF(C173=2,I173*Habitat!$J$35,0)+IF(C173=3,I173*Habitat!$K$35,0)+IF(C173=4,I173*Habitat!$L$35,0)+IF(C173=5,I173*Habitat!$M$35,0)</f>
        <v>0</v>
      </c>
      <c r="L173" s="48">
        <f>IF(C173=1,I173*Habitat!$I$34,0)+IF(C173=2,I173*Habitat!$J$34,0)+IF(C173=3,I173*Habitat!$K$34,0)+IF(C173=4,I173*Habitat!$L$34,0)+IF(C173=5,I173*Habitat!$M$34,0)</f>
        <v>0</v>
      </c>
      <c r="M173" s="48">
        <f>IF(C173=1,I173*Habitat!$I$37,0)+IF(C173=2,I173*Habitat!$J$37,0)+IF(C173=3,I173*Habitat!$K$37,0)+IF(C173=4,I173*Habitat!$L$37,0)+IF(C173=5,I173*Habitat!$M$37,0)</f>
        <v>0</v>
      </c>
      <c r="N173" s="48">
        <f>IF(C173=1,I173*Habitat!$I$38,0)+IF(C173=2,I173*Habitat!$J$38,0)+IF(C173=3,I173*Habitat!$K$38,0)+IF(C173=4,I173*Habitat!$L$38,0)+IF(C173=5,I173*Habitat!$M$38,0)</f>
        <v>0</v>
      </c>
      <c r="O173">
        <f>IF(C173=1,I173*Habitat!$I$39,0)+IF(C173=2,I173*Habitat!$J$39,0)+IF(C173=3,I173*Habitat!$K$39,0)+IF(C173=4,I173*Habitat!$L$39,0)+IF(C173=5,I173*Habitat!$M$39,0)</f>
        <v>0</v>
      </c>
    </row>
    <row r="174" spans="1:15">
      <c r="A174">
        <f t="shared" si="30"/>
        <v>163</v>
      </c>
      <c r="C174" s="5">
        <v>3</v>
      </c>
      <c r="D174" s="56">
        <f>D173+Habitat!$C$25</f>
        <v>1615</v>
      </c>
      <c r="E174" s="48">
        <f t="shared" si="21"/>
        <v>840</v>
      </c>
      <c r="F174" s="3">
        <f>Habitat!$D$22*D174</f>
        <v>19.908176100628932</v>
      </c>
      <c r="G174" s="3">
        <f t="shared" si="26"/>
        <v>0</v>
      </c>
      <c r="H174" s="3">
        <f>IF(D174&lt;$C$7,0,IF(D174&gt;$C$6,0,1))</f>
        <v>0</v>
      </c>
      <c r="I174" s="47">
        <f t="shared" si="23"/>
        <v>0</v>
      </c>
      <c r="J174" s="48">
        <f>IF(C174=1,I174*Habitat!$I$36,0)+IF(C174=2,I174*Habitat!$J$36,0)+IF(C174=3,I174*Habitat!$K$36,0)+IF(C174=4,I174*Habitat!$L$36,0)+IF(C174=5,I174*Habitat!$M$36,0)</f>
        <v>0</v>
      </c>
      <c r="K174" s="48">
        <f>IF(C174=1,I174*Habitat!$I$35,0)+IF(C174=2,I174*Habitat!$J$35,0)+IF(C174=3,I174*Habitat!$K$35,0)+IF(C174=4,I174*Habitat!$L$35,0)+IF(C174=5,I174*Habitat!$M$35,0)</f>
        <v>0</v>
      </c>
      <c r="L174" s="48">
        <f>IF(C174=1,I174*Habitat!$I$34,0)+IF(C174=2,I174*Habitat!$J$34,0)+IF(C174=3,I174*Habitat!$K$34,0)+IF(C174=4,I174*Habitat!$L$34,0)+IF(C174=5,I174*Habitat!$M$34,0)</f>
        <v>0</v>
      </c>
      <c r="M174" s="48">
        <f>IF(C174=1,I174*Habitat!$I$37,0)+IF(C174=2,I174*Habitat!$J$37,0)+IF(C174=3,I174*Habitat!$K$37,0)+IF(C174=4,I174*Habitat!$L$37,0)+IF(C174=5,I174*Habitat!$M$37,0)</f>
        <v>0</v>
      </c>
      <c r="N174" s="48">
        <f>IF(C174=1,I174*Habitat!$I$38,0)+IF(C174=2,I174*Habitat!$J$38,0)+IF(C174=3,I174*Habitat!$K$38,0)+IF(C174=4,I174*Habitat!$L$38,0)+IF(C174=5,I174*Habitat!$M$38,0)</f>
        <v>0</v>
      </c>
      <c r="O174">
        <f>IF(C174=1,I174*Habitat!$I$39,0)+IF(C174=2,I174*Habitat!$J$39,0)+IF(C174=3,I174*Habitat!$K$39,0)+IF(C174=4,I174*Habitat!$L$39,0)+IF(C174=5,I174*Habitat!$M$39,0)</f>
        <v>0</v>
      </c>
    </row>
    <row r="175" spans="1:15">
      <c r="A175">
        <f t="shared" si="30"/>
        <v>164</v>
      </c>
      <c r="C175" s="5">
        <v>3</v>
      </c>
      <c r="D175" s="56">
        <f>D174+Habitat!$C$25</f>
        <v>1620</v>
      </c>
      <c r="E175" s="48">
        <f t="shared" ref="E175:E213" si="31">IF(D175&lt;=$C$7,D174-$C$7,D175-$C$7)</f>
        <v>845</v>
      </c>
      <c r="F175" s="3">
        <f>Habitat!$D$22*D175</f>
        <v>19.969811320754719</v>
      </c>
      <c r="G175" s="3">
        <f t="shared" si="26"/>
        <v>0</v>
      </c>
      <c r="H175" s="3">
        <f>IF(D175&lt;$C$7,0,IF(D175&gt;$C$6,0,1))</f>
        <v>0</v>
      </c>
      <c r="I175" s="47">
        <f t="shared" si="23"/>
        <v>0</v>
      </c>
      <c r="J175" s="48">
        <f>IF(C175=1,I175*Habitat!$I$36,0)+IF(C175=2,I175*Habitat!$J$36,0)+IF(C175=3,I175*Habitat!$K$36,0)+IF(C175=4,I175*Habitat!$L$36,0)+IF(C175=5,I175*Habitat!$M$36,0)</f>
        <v>0</v>
      </c>
      <c r="K175" s="48">
        <f>IF(C175=1,I175*Habitat!$I$35,0)+IF(C175=2,I175*Habitat!$J$35,0)+IF(C175=3,I175*Habitat!$K$35,0)+IF(C175=4,I175*Habitat!$L$35,0)+IF(C175=5,I175*Habitat!$M$35,0)</f>
        <v>0</v>
      </c>
      <c r="L175" s="48">
        <f>IF(C175=1,I175*Habitat!$I$34,0)+IF(C175=2,I175*Habitat!$J$34,0)+IF(C175=3,I175*Habitat!$K$34,0)+IF(C175=4,I175*Habitat!$L$34,0)+IF(C175=5,I175*Habitat!$M$34,0)</f>
        <v>0</v>
      </c>
      <c r="M175" s="48">
        <f>IF(C175=1,I175*Habitat!$I$37,0)+IF(C175=2,I175*Habitat!$J$37,0)+IF(C175=3,I175*Habitat!$K$37,0)+IF(C175=4,I175*Habitat!$L$37,0)+IF(C175=5,I175*Habitat!$M$37,0)</f>
        <v>0</v>
      </c>
      <c r="N175" s="48">
        <f>IF(C175=1,I175*Habitat!$I$38,0)+IF(C175=2,I175*Habitat!$J$38,0)+IF(C175=3,I175*Habitat!$K$38,0)+IF(C175=4,I175*Habitat!$L$38,0)+IF(C175=5,I175*Habitat!$M$38,0)</f>
        <v>0</v>
      </c>
      <c r="O175">
        <f>IF(C175=1,I175*Habitat!$I$39,0)+IF(C175=2,I175*Habitat!$J$39,0)+IF(C175=3,I175*Habitat!$K$39,0)+IF(C175=4,I175*Habitat!$L$39,0)+IF(C175=5,I175*Habitat!$M$39,0)</f>
        <v>0</v>
      </c>
    </row>
    <row r="176" spans="1:15">
      <c r="A176">
        <f t="shared" si="30"/>
        <v>165</v>
      </c>
      <c r="C176" s="5">
        <v>3</v>
      </c>
      <c r="D176" s="56">
        <f>D175+Habitat!$C$25</f>
        <v>1625</v>
      </c>
      <c r="E176" s="48">
        <f t="shared" si="31"/>
        <v>850</v>
      </c>
      <c r="F176" s="3">
        <f>Habitat!$D$22*D176</f>
        <v>20.031446540880502</v>
      </c>
      <c r="G176" s="3">
        <f t="shared" si="26"/>
        <v>0</v>
      </c>
      <c r="H176" s="3">
        <f>IF(D176&lt;$C$7,0,IF(D176&gt;$C$6,0,1))</f>
        <v>0</v>
      </c>
      <c r="I176" s="47">
        <f t="shared" si="23"/>
        <v>0</v>
      </c>
      <c r="J176" s="48">
        <f>IF(C176=1,I176*Habitat!$I$36,0)+IF(C176=2,I176*Habitat!$J$36,0)+IF(C176=3,I176*Habitat!$K$36,0)+IF(C176=4,I176*Habitat!$L$36,0)+IF(C176=5,I176*Habitat!$M$36,0)</f>
        <v>0</v>
      </c>
      <c r="K176" s="48">
        <f>IF(C176=1,I176*Habitat!$I$35,0)+IF(C176=2,I176*Habitat!$J$35,0)+IF(C176=3,I176*Habitat!$K$35,0)+IF(C176=4,I176*Habitat!$L$35,0)+IF(C176=5,I176*Habitat!$M$35,0)</f>
        <v>0</v>
      </c>
      <c r="L176" s="48">
        <f>IF(C176=1,I176*Habitat!$I$34,0)+IF(C176=2,I176*Habitat!$J$34,0)+IF(C176=3,I176*Habitat!$K$34,0)+IF(C176=4,I176*Habitat!$L$34,0)+IF(C176=5,I176*Habitat!$M$34,0)</f>
        <v>0</v>
      </c>
      <c r="M176" s="48">
        <f>IF(C176=1,I176*Habitat!$I$37,0)+IF(C176=2,I176*Habitat!$J$37,0)+IF(C176=3,I176*Habitat!$K$37,0)+IF(C176=4,I176*Habitat!$L$37,0)+IF(C176=5,I176*Habitat!$M$37,0)</f>
        <v>0</v>
      </c>
      <c r="N176" s="48">
        <f>IF(C176=1,I176*Habitat!$I$38,0)+IF(C176=2,I176*Habitat!$J$38,0)+IF(C176=3,I176*Habitat!$K$38,0)+IF(C176=4,I176*Habitat!$L$38,0)+IF(C176=5,I176*Habitat!$M$38,0)</f>
        <v>0</v>
      </c>
      <c r="O176">
        <f>IF(C176=1,I176*Habitat!$I$39,0)+IF(C176=2,I176*Habitat!$J$39,0)+IF(C176=3,I176*Habitat!$K$39,0)+IF(C176=4,I176*Habitat!$L$39,0)+IF(C176=5,I176*Habitat!$M$39,0)</f>
        <v>0</v>
      </c>
    </row>
    <row r="177" spans="1:15">
      <c r="A177">
        <f t="shared" si="30"/>
        <v>166</v>
      </c>
      <c r="C177" s="5">
        <v>3</v>
      </c>
      <c r="D177" s="56">
        <f>D176+Habitat!$C$25</f>
        <v>1630</v>
      </c>
      <c r="E177" s="48">
        <f t="shared" si="31"/>
        <v>855</v>
      </c>
      <c r="F177" s="3">
        <f>Habitat!$D$22*D177</f>
        <v>20.093081761006289</v>
      </c>
      <c r="G177" s="3">
        <f t="shared" si="26"/>
        <v>0</v>
      </c>
      <c r="H177" s="3">
        <f>IF(D177&lt;$C$7,0,IF(D177&gt;$C$6,0,1))</f>
        <v>0</v>
      </c>
      <c r="I177" s="47">
        <f t="shared" si="23"/>
        <v>0</v>
      </c>
      <c r="J177" s="48">
        <f>IF(C177=1,I177*Habitat!$I$36,0)+IF(C177=2,I177*Habitat!$J$36,0)+IF(C177=3,I177*Habitat!$K$36,0)+IF(C177=4,I177*Habitat!$L$36,0)+IF(C177=5,I177*Habitat!$M$36,0)</f>
        <v>0</v>
      </c>
      <c r="K177" s="48">
        <f>IF(C177=1,I177*Habitat!$I$35,0)+IF(C177=2,I177*Habitat!$J$35,0)+IF(C177=3,I177*Habitat!$K$35,0)+IF(C177=4,I177*Habitat!$L$35,0)+IF(C177=5,I177*Habitat!$M$35,0)</f>
        <v>0</v>
      </c>
      <c r="L177" s="48">
        <f>IF(C177=1,I177*Habitat!$I$34,0)+IF(C177=2,I177*Habitat!$J$34,0)+IF(C177=3,I177*Habitat!$K$34,0)+IF(C177=4,I177*Habitat!$L$34,0)+IF(C177=5,I177*Habitat!$M$34,0)</f>
        <v>0</v>
      </c>
      <c r="M177" s="48">
        <f>IF(C177=1,I177*Habitat!$I$37,0)+IF(C177=2,I177*Habitat!$J$37,0)+IF(C177=3,I177*Habitat!$K$37,0)+IF(C177=4,I177*Habitat!$L$37,0)+IF(C177=5,I177*Habitat!$M$37,0)</f>
        <v>0</v>
      </c>
      <c r="N177" s="48">
        <f>IF(C177=1,I177*Habitat!$I$38,0)+IF(C177=2,I177*Habitat!$J$38,0)+IF(C177=3,I177*Habitat!$K$38,0)+IF(C177=4,I177*Habitat!$L$38,0)+IF(C177=5,I177*Habitat!$M$38,0)</f>
        <v>0</v>
      </c>
      <c r="O177">
        <f>IF(C177=1,I177*Habitat!$I$39,0)+IF(C177=2,I177*Habitat!$J$39,0)+IF(C177=3,I177*Habitat!$K$39,0)+IF(C177=4,I177*Habitat!$L$39,0)+IF(C177=5,I177*Habitat!$M$39,0)</f>
        <v>0</v>
      </c>
    </row>
    <row r="178" spans="1:15">
      <c r="A178">
        <f t="shared" si="30"/>
        <v>167</v>
      </c>
      <c r="C178" s="5">
        <v>3</v>
      </c>
      <c r="D178" s="56">
        <f>D177+Habitat!$C$25</f>
        <v>1635</v>
      </c>
      <c r="E178" s="48">
        <f t="shared" si="31"/>
        <v>860</v>
      </c>
      <c r="F178" s="3">
        <f>Habitat!$D$22*D178</f>
        <v>20.154716981132076</v>
      </c>
      <c r="G178" s="3">
        <f t="shared" si="26"/>
        <v>0</v>
      </c>
      <c r="H178" s="3">
        <f>IF(D178&lt;$C$7,0,IF(D178&gt;$C$6,0,1))</f>
        <v>0</v>
      </c>
      <c r="I178" s="47">
        <f t="shared" si="23"/>
        <v>0</v>
      </c>
      <c r="J178" s="48">
        <f>IF(C178=1,I178*Habitat!$I$36,0)+IF(C178=2,I178*Habitat!$J$36,0)+IF(C178=3,I178*Habitat!$K$36,0)+IF(C178=4,I178*Habitat!$L$36,0)+IF(C178=5,I178*Habitat!$M$36,0)</f>
        <v>0</v>
      </c>
      <c r="K178" s="48">
        <f>IF(C178=1,I178*Habitat!$I$35,0)+IF(C178=2,I178*Habitat!$J$35,0)+IF(C178=3,I178*Habitat!$K$35,0)+IF(C178=4,I178*Habitat!$L$35,0)+IF(C178=5,I178*Habitat!$M$35,0)</f>
        <v>0</v>
      </c>
      <c r="L178" s="48">
        <f>IF(C178=1,I178*Habitat!$I$34,0)+IF(C178=2,I178*Habitat!$J$34,0)+IF(C178=3,I178*Habitat!$K$34,0)+IF(C178=4,I178*Habitat!$L$34,0)+IF(C178=5,I178*Habitat!$M$34,0)</f>
        <v>0</v>
      </c>
      <c r="M178" s="48">
        <f>IF(C178=1,I178*Habitat!$I$37,0)+IF(C178=2,I178*Habitat!$J$37,0)+IF(C178=3,I178*Habitat!$K$37,0)+IF(C178=4,I178*Habitat!$L$37,0)+IF(C178=5,I178*Habitat!$M$37,0)</f>
        <v>0</v>
      </c>
      <c r="N178" s="48">
        <f>IF(C178=1,I178*Habitat!$I$38,0)+IF(C178=2,I178*Habitat!$J$38,0)+IF(C178=3,I178*Habitat!$K$38,0)+IF(C178=4,I178*Habitat!$L$38,0)+IF(C178=5,I178*Habitat!$M$38,0)</f>
        <v>0</v>
      </c>
      <c r="O178">
        <f>IF(C178=1,I178*Habitat!$I$39,0)+IF(C178=2,I178*Habitat!$J$39,0)+IF(C178=3,I178*Habitat!$K$39,0)+IF(C178=4,I178*Habitat!$L$39,0)+IF(C178=5,I178*Habitat!$M$39,0)</f>
        <v>0</v>
      </c>
    </row>
    <row r="179" spans="1:15">
      <c r="A179">
        <f t="shared" si="30"/>
        <v>168</v>
      </c>
      <c r="C179" s="5">
        <v>3</v>
      </c>
      <c r="D179" s="56">
        <f>D178+Habitat!$C$25</f>
        <v>1640</v>
      </c>
      <c r="E179" s="48">
        <f t="shared" si="31"/>
        <v>865</v>
      </c>
      <c r="F179" s="3">
        <f>Habitat!$D$22*D179</f>
        <v>20.216352201257862</v>
      </c>
      <c r="G179" s="3">
        <f t="shared" si="26"/>
        <v>0</v>
      </c>
      <c r="H179" s="3">
        <f>IF(D179&lt;$C$7,0,IF(D179&gt;$C$6,0,1))</f>
        <v>0</v>
      </c>
      <c r="I179" s="47">
        <f t="shared" si="23"/>
        <v>0</v>
      </c>
      <c r="J179" s="48">
        <f>IF(C179=1,I179*Habitat!$I$36,0)+IF(C179=2,I179*Habitat!$J$36,0)+IF(C179=3,I179*Habitat!$K$36,0)+IF(C179=4,I179*Habitat!$L$36,0)+IF(C179=5,I179*Habitat!$M$36,0)</f>
        <v>0</v>
      </c>
      <c r="K179" s="48">
        <f>IF(C179=1,I179*Habitat!$I$35,0)+IF(C179=2,I179*Habitat!$J$35,0)+IF(C179=3,I179*Habitat!$K$35,0)+IF(C179=4,I179*Habitat!$L$35,0)+IF(C179=5,I179*Habitat!$M$35,0)</f>
        <v>0</v>
      </c>
      <c r="L179" s="48">
        <f>IF(C179=1,I179*Habitat!$I$34,0)+IF(C179=2,I179*Habitat!$J$34,0)+IF(C179=3,I179*Habitat!$K$34,0)+IF(C179=4,I179*Habitat!$L$34,0)+IF(C179=5,I179*Habitat!$M$34,0)</f>
        <v>0</v>
      </c>
      <c r="M179" s="48">
        <f>IF(C179=1,I179*Habitat!$I$37,0)+IF(C179=2,I179*Habitat!$J$37,0)+IF(C179=3,I179*Habitat!$K$37,0)+IF(C179=4,I179*Habitat!$L$37,0)+IF(C179=5,I179*Habitat!$M$37,0)</f>
        <v>0</v>
      </c>
      <c r="N179" s="48">
        <f>IF(C179=1,I179*Habitat!$I$38,0)+IF(C179=2,I179*Habitat!$J$38,0)+IF(C179=3,I179*Habitat!$K$38,0)+IF(C179=4,I179*Habitat!$L$38,0)+IF(C179=5,I179*Habitat!$M$38,0)</f>
        <v>0</v>
      </c>
      <c r="O179">
        <f>IF(C179=1,I179*Habitat!$I$39,0)+IF(C179=2,I179*Habitat!$J$39,0)+IF(C179=3,I179*Habitat!$K$39,0)+IF(C179=4,I179*Habitat!$L$39,0)+IF(C179=5,I179*Habitat!$M$39,0)</f>
        <v>0</v>
      </c>
    </row>
    <row r="180" spans="1:15">
      <c r="A180">
        <f t="shared" si="30"/>
        <v>169</v>
      </c>
      <c r="C180" s="5">
        <v>3</v>
      </c>
      <c r="D180" s="56">
        <f>D179+Habitat!$C$25</f>
        <v>1645</v>
      </c>
      <c r="E180" s="48">
        <f t="shared" si="31"/>
        <v>870</v>
      </c>
      <c r="F180" s="3">
        <f>Habitat!$D$22*D180</f>
        <v>20.277987421383649</v>
      </c>
      <c r="G180" s="3">
        <f t="shared" si="26"/>
        <v>0</v>
      </c>
      <c r="H180" s="3">
        <f>IF(D180&lt;$C$7,0,IF(D180&gt;$C$6,0,1))</f>
        <v>0</v>
      </c>
      <c r="I180" s="47">
        <f t="shared" si="23"/>
        <v>0</v>
      </c>
      <c r="J180" s="48">
        <f>IF(C180=1,I180*Habitat!$I$36,0)+IF(C180=2,I180*Habitat!$J$36,0)+IF(C180=3,I180*Habitat!$K$36,0)+IF(C180=4,I180*Habitat!$L$36,0)+IF(C180=5,I180*Habitat!$M$36,0)</f>
        <v>0</v>
      </c>
      <c r="K180" s="48">
        <f>IF(C180=1,I180*Habitat!$I$35,0)+IF(C180=2,I180*Habitat!$J$35,0)+IF(C180=3,I180*Habitat!$K$35,0)+IF(C180=4,I180*Habitat!$L$35,0)+IF(C180=5,I180*Habitat!$M$35,0)</f>
        <v>0</v>
      </c>
      <c r="L180" s="48">
        <f>IF(C180=1,I180*Habitat!$I$34,0)+IF(C180=2,I180*Habitat!$J$34,0)+IF(C180=3,I180*Habitat!$K$34,0)+IF(C180=4,I180*Habitat!$L$34,0)+IF(C180=5,I180*Habitat!$M$34,0)</f>
        <v>0</v>
      </c>
      <c r="M180" s="48">
        <f>IF(C180=1,I180*Habitat!$I$37,0)+IF(C180=2,I180*Habitat!$J$37,0)+IF(C180=3,I180*Habitat!$K$37,0)+IF(C180=4,I180*Habitat!$L$37,0)+IF(C180=5,I180*Habitat!$M$37,0)</f>
        <v>0</v>
      </c>
      <c r="N180" s="48">
        <f>IF(C180=1,I180*Habitat!$I$38,0)+IF(C180=2,I180*Habitat!$J$38,0)+IF(C180=3,I180*Habitat!$K$38,0)+IF(C180=4,I180*Habitat!$L$38,0)+IF(C180=5,I180*Habitat!$M$38,0)</f>
        <v>0</v>
      </c>
      <c r="O180">
        <f>IF(C180=1,I180*Habitat!$I$39,0)+IF(C180=2,I180*Habitat!$J$39,0)+IF(C180=3,I180*Habitat!$K$39,0)+IF(C180=4,I180*Habitat!$L$39,0)+IF(C180=5,I180*Habitat!$M$39,0)</f>
        <v>0</v>
      </c>
    </row>
    <row r="181" spans="1:15">
      <c r="A181">
        <f t="shared" si="30"/>
        <v>170</v>
      </c>
      <c r="C181" s="5">
        <v>3</v>
      </c>
      <c r="D181" s="56">
        <f>D180+Habitat!$C$25</f>
        <v>1650</v>
      </c>
      <c r="E181" s="48">
        <f t="shared" si="31"/>
        <v>875</v>
      </c>
      <c r="F181" s="3">
        <f>Habitat!$D$22*D181</f>
        <v>20.339622641509433</v>
      </c>
      <c r="G181" s="3">
        <f t="shared" si="26"/>
        <v>0</v>
      </c>
      <c r="H181" s="3">
        <f>IF(D181&lt;$C$7,0,IF(D181&gt;$C$6,0,1))</f>
        <v>0</v>
      </c>
      <c r="I181" s="47">
        <f t="shared" si="23"/>
        <v>0</v>
      </c>
      <c r="J181" s="48">
        <f>IF(C181=1,I181*Habitat!$I$36,0)+IF(C181=2,I181*Habitat!$J$36,0)+IF(C181=3,I181*Habitat!$K$36,0)+IF(C181=4,I181*Habitat!$L$36,0)+IF(C181=5,I181*Habitat!$M$36,0)</f>
        <v>0</v>
      </c>
      <c r="K181" s="48">
        <f>IF(C181=1,I181*Habitat!$I$35,0)+IF(C181=2,I181*Habitat!$J$35,0)+IF(C181=3,I181*Habitat!$K$35,0)+IF(C181=4,I181*Habitat!$L$35,0)+IF(C181=5,I181*Habitat!$M$35,0)</f>
        <v>0</v>
      </c>
      <c r="L181" s="48">
        <f>IF(C181=1,I181*Habitat!$I$34,0)+IF(C181=2,I181*Habitat!$J$34,0)+IF(C181=3,I181*Habitat!$K$34,0)+IF(C181=4,I181*Habitat!$L$34,0)+IF(C181=5,I181*Habitat!$M$34,0)</f>
        <v>0</v>
      </c>
      <c r="M181" s="48">
        <f>IF(C181=1,I181*Habitat!$I$37,0)+IF(C181=2,I181*Habitat!$J$37,0)+IF(C181=3,I181*Habitat!$K$37,0)+IF(C181=4,I181*Habitat!$L$37,0)+IF(C181=5,I181*Habitat!$M$37,0)</f>
        <v>0</v>
      </c>
      <c r="N181" s="48">
        <f>IF(C181=1,I181*Habitat!$I$38,0)+IF(C181=2,I181*Habitat!$J$38,0)+IF(C181=3,I181*Habitat!$K$38,0)+IF(C181=4,I181*Habitat!$L$38,0)+IF(C181=5,I181*Habitat!$M$38,0)</f>
        <v>0</v>
      </c>
      <c r="O181">
        <f>IF(C181=1,I181*Habitat!$I$39,0)+IF(C181=2,I181*Habitat!$J$39,0)+IF(C181=3,I181*Habitat!$K$39,0)+IF(C181=4,I181*Habitat!$L$39,0)+IF(C181=5,I181*Habitat!$M$39,0)</f>
        <v>0</v>
      </c>
    </row>
    <row r="182" spans="1:15">
      <c r="A182">
        <f t="shared" si="30"/>
        <v>171</v>
      </c>
      <c r="C182" s="5">
        <v>3</v>
      </c>
      <c r="D182" s="56">
        <f>D181+Habitat!$C$25</f>
        <v>1655</v>
      </c>
      <c r="E182" s="48">
        <f t="shared" si="31"/>
        <v>880</v>
      </c>
      <c r="F182" s="3">
        <f>Habitat!$D$22*D182</f>
        <v>20.401257861635219</v>
      </c>
      <c r="G182" s="3">
        <f t="shared" si="26"/>
        <v>0</v>
      </c>
      <c r="H182" s="3">
        <f>IF(D182&lt;$C$7,0,IF(D182&gt;$C$6,0,1))</f>
        <v>0</v>
      </c>
      <c r="I182" s="47">
        <f t="shared" si="23"/>
        <v>0</v>
      </c>
      <c r="J182" s="48">
        <f>IF(C182=1,I182*Habitat!$I$36,0)+IF(C182=2,I182*Habitat!$J$36,0)+IF(C182=3,I182*Habitat!$K$36,0)+IF(C182=4,I182*Habitat!$L$36,0)+IF(C182=5,I182*Habitat!$M$36,0)</f>
        <v>0</v>
      </c>
      <c r="K182" s="48">
        <f>IF(C182=1,I182*Habitat!$I$35,0)+IF(C182=2,I182*Habitat!$J$35,0)+IF(C182=3,I182*Habitat!$K$35,0)+IF(C182=4,I182*Habitat!$L$35,0)+IF(C182=5,I182*Habitat!$M$35,0)</f>
        <v>0</v>
      </c>
      <c r="L182" s="48">
        <f>IF(C182=1,I182*Habitat!$I$34,0)+IF(C182=2,I182*Habitat!$J$34,0)+IF(C182=3,I182*Habitat!$K$34,0)+IF(C182=4,I182*Habitat!$L$34,0)+IF(C182=5,I182*Habitat!$M$34,0)</f>
        <v>0</v>
      </c>
      <c r="M182" s="48">
        <f>IF(C182=1,I182*Habitat!$I$37,0)+IF(C182=2,I182*Habitat!$J$37,0)+IF(C182=3,I182*Habitat!$K$37,0)+IF(C182=4,I182*Habitat!$L$37,0)+IF(C182=5,I182*Habitat!$M$37,0)</f>
        <v>0</v>
      </c>
      <c r="N182" s="48">
        <f>IF(C182=1,I182*Habitat!$I$38,0)+IF(C182=2,I182*Habitat!$J$38,0)+IF(C182=3,I182*Habitat!$K$38,0)+IF(C182=4,I182*Habitat!$L$38,0)+IF(C182=5,I182*Habitat!$M$38,0)</f>
        <v>0</v>
      </c>
      <c r="O182">
        <f>IF(C182=1,I182*Habitat!$I$39,0)+IF(C182=2,I182*Habitat!$J$39,0)+IF(C182=3,I182*Habitat!$K$39,0)+IF(C182=4,I182*Habitat!$L$39,0)+IF(C182=5,I182*Habitat!$M$39,0)</f>
        <v>0</v>
      </c>
    </row>
    <row r="183" spans="1:15">
      <c r="A183">
        <f t="shared" si="30"/>
        <v>172</v>
      </c>
      <c r="C183" s="5">
        <v>3</v>
      </c>
      <c r="D183" s="56">
        <f>D182+Habitat!$C$25</f>
        <v>1660</v>
      </c>
      <c r="E183" s="48">
        <f t="shared" si="31"/>
        <v>885</v>
      </c>
      <c r="F183" s="3">
        <f>Habitat!$D$22*D183</f>
        <v>20.462893081761006</v>
      </c>
      <c r="G183" s="3">
        <f t="shared" si="26"/>
        <v>0</v>
      </c>
      <c r="H183" s="3">
        <f>IF(D183&lt;$C$7,0,IF(D183&gt;$C$6,0,1))</f>
        <v>0</v>
      </c>
      <c r="I183" s="47">
        <f t="shared" si="23"/>
        <v>0</v>
      </c>
      <c r="J183" s="48">
        <f>IF(C183=1,I183*Habitat!$I$36,0)+IF(C183=2,I183*Habitat!$J$36,0)+IF(C183=3,I183*Habitat!$K$36,0)+IF(C183=4,I183*Habitat!$L$36,0)+IF(C183=5,I183*Habitat!$M$36,0)</f>
        <v>0</v>
      </c>
      <c r="K183" s="48">
        <f>IF(C183=1,I183*Habitat!$I$35,0)+IF(C183=2,I183*Habitat!$J$35,0)+IF(C183=3,I183*Habitat!$K$35,0)+IF(C183=4,I183*Habitat!$L$35,0)+IF(C183=5,I183*Habitat!$M$35,0)</f>
        <v>0</v>
      </c>
      <c r="L183" s="48">
        <f>IF(C183=1,I183*Habitat!$I$34,0)+IF(C183=2,I183*Habitat!$J$34,0)+IF(C183=3,I183*Habitat!$K$34,0)+IF(C183=4,I183*Habitat!$L$34,0)+IF(C183=5,I183*Habitat!$M$34,0)</f>
        <v>0</v>
      </c>
      <c r="M183" s="48">
        <f>IF(C183=1,I183*Habitat!$I$37,0)+IF(C183=2,I183*Habitat!$J$37,0)+IF(C183=3,I183*Habitat!$K$37,0)+IF(C183=4,I183*Habitat!$L$37,0)+IF(C183=5,I183*Habitat!$M$37,0)</f>
        <v>0</v>
      </c>
      <c r="N183" s="48">
        <f>IF(C183=1,I183*Habitat!$I$38,0)+IF(C183=2,I183*Habitat!$J$38,0)+IF(C183=3,I183*Habitat!$K$38,0)+IF(C183=4,I183*Habitat!$L$38,0)+IF(C183=5,I183*Habitat!$M$38,0)</f>
        <v>0</v>
      </c>
      <c r="O183">
        <f>IF(C183=1,I183*Habitat!$I$39,0)+IF(C183=2,I183*Habitat!$J$39,0)+IF(C183=3,I183*Habitat!$K$39,0)+IF(C183=4,I183*Habitat!$L$39,0)+IF(C183=5,I183*Habitat!$M$39,0)</f>
        <v>0</v>
      </c>
    </row>
    <row r="184" spans="1:15">
      <c r="A184">
        <f t="shared" si="30"/>
        <v>173</v>
      </c>
      <c r="C184" s="5">
        <v>3</v>
      </c>
      <c r="D184" s="56">
        <f>D183+Habitat!$C$25</f>
        <v>1665</v>
      </c>
      <c r="E184" s="48">
        <f t="shared" si="31"/>
        <v>890</v>
      </c>
      <c r="F184" s="3">
        <f>Habitat!$D$22*D184</f>
        <v>20.524528301886793</v>
      </c>
      <c r="G184" s="3">
        <f t="shared" si="26"/>
        <v>0</v>
      </c>
      <c r="H184" s="3">
        <f>IF(D184&lt;$C$7,0,IF(D184&gt;$C$6,0,1))</f>
        <v>0</v>
      </c>
      <c r="I184" s="47">
        <f t="shared" si="23"/>
        <v>0</v>
      </c>
      <c r="J184" s="48">
        <f>IF(C184=1,I184*Habitat!$I$36,0)+IF(C184=2,I184*Habitat!$J$36,0)+IF(C184=3,I184*Habitat!$K$36,0)+IF(C184=4,I184*Habitat!$L$36,0)+IF(C184=5,I184*Habitat!$M$36,0)</f>
        <v>0</v>
      </c>
      <c r="K184" s="48">
        <f>IF(C184=1,I184*Habitat!$I$35,0)+IF(C184=2,I184*Habitat!$J$35,0)+IF(C184=3,I184*Habitat!$K$35,0)+IF(C184=4,I184*Habitat!$L$35,0)+IF(C184=5,I184*Habitat!$M$35,0)</f>
        <v>0</v>
      </c>
      <c r="L184" s="48">
        <f>IF(C184=1,I184*Habitat!$I$34,0)+IF(C184=2,I184*Habitat!$J$34,0)+IF(C184=3,I184*Habitat!$K$34,0)+IF(C184=4,I184*Habitat!$L$34,0)+IF(C184=5,I184*Habitat!$M$34,0)</f>
        <v>0</v>
      </c>
      <c r="M184" s="48">
        <f>IF(C184=1,I184*Habitat!$I$37,0)+IF(C184=2,I184*Habitat!$J$37,0)+IF(C184=3,I184*Habitat!$K$37,0)+IF(C184=4,I184*Habitat!$L$37,0)+IF(C184=5,I184*Habitat!$M$37,0)</f>
        <v>0</v>
      </c>
      <c r="N184" s="48">
        <f>IF(C184=1,I184*Habitat!$I$38,0)+IF(C184=2,I184*Habitat!$J$38,0)+IF(C184=3,I184*Habitat!$K$38,0)+IF(C184=4,I184*Habitat!$L$38,0)+IF(C184=5,I184*Habitat!$M$38,0)</f>
        <v>0</v>
      </c>
      <c r="O184">
        <f>IF(C184=1,I184*Habitat!$I$39,0)+IF(C184=2,I184*Habitat!$J$39,0)+IF(C184=3,I184*Habitat!$K$39,0)+IF(C184=4,I184*Habitat!$L$39,0)+IF(C184=5,I184*Habitat!$M$39,0)</f>
        <v>0</v>
      </c>
    </row>
    <row r="185" spans="1:15">
      <c r="A185">
        <f t="shared" si="30"/>
        <v>174</v>
      </c>
      <c r="C185" s="5">
        <v>3</v>
      </c>
      <c r="D185" s="56">
        <f>D184+Habitat!$C$25</f>
        <v>1670</v>
      </c>
      <c r="E185" s="48">
        <f t="shared" si="31"/>
        <v>895</v>
      </c>
      <c r="F185" s="3">
        <f>Habitat!$D$22*D185</f>
        <v>20.58616352201258</v>
      </c>
      <c r="G185" s="3">
        <f t="shared" si="26"/>
        <v>0</v>
      </c>
      <c r="H185" s="3">
        <f>IF(D185&lt;$C$7,0,IF(D185&gt;$C$6,0,1))</f>
        <v>0</v>
      </c>
      <c r="I185" s="47">
        <f t="shared" si="23"/>
        <v>0</v>
      </c>
      <c r="J185" s="48">
        <f>IF(C185=1,I185*Habitat!$I$36,0)+IF(C185=2,I185*Habitat!$J$36,0)+IF(C185=3,I185*Habitat!$K$36,0)+IF(C185=4,I185*Habitat!$L$36,0)+IF(C185=5,I185*Habitat!$M$36,0)</f>
        <v>0</v>
      </c>
      <c r="K185" s="48">
        <f>IF(C185=1,I185*Habitat!$I$35,0)+IF(C185=2,I185*Habitat!$J$35,0)+IF(C185=3,I185*Habitat!$K$35,0)+IF(C185=4,I185*Habitat!$L$35,0)+IF(C185=5,I185*Habitat!$M$35,0)</f>
        <v>0</v>
      </c>
      <c r="L185" s="48">
        <f>IF(C185=1,I185*Habitat!$I$34,0)+IF(C185=2,I185*Habitat!$J$34,0)+IF(C185=3,I185*Habitat!$K$34,0)+IF(C185=4,I185*Habitat!$L$34,0)+IF(C185=5,I185*Habitat!$M$34,0)</f>
        <v>0</v>
      </c>
      <c r="M185" s="48">
        <f>IF(C185=1,I185*Habitat!$I$37,0)+IF(C185=2,I185*Habitat!$J$37,0)+IF(C185=3,I185*Habitat!$K$37,0)+IF(C185=4,I185*Habitat!$L$37,0)+IF(C185=5,I185*Habitat!$M$37,0)</f>
        <v>0</v>
      </c>
      <c r="N185" s="48">
        <f>IF(C185=1,I185*Habitat!$I$38,0)+IF(C185=2,I185*Habitat!$J$38,0)+IF(C185=3,I185*Habitat!$K$38,0)+IF(C185=4,I185*Habitat!$L$38,0)+IF(C185=5,I185*Habitat!$M$38,0)</f>
        <v>0</v>
      </c>
      <c r="O185">
        <f>IF(C185=1,I185*Habitat!$I$39,0)+IF(C185=2,I185*Habitat!$J$39,0)+IF(C185=3,I185*Habitat!$K$39,0)+IF(C185=4,I185*Habitat!$L$39,0)+IF(C185=5,I185*Habitat!$M$39,0)</f>
        <v>0</v>
      </c>
    </row>
    <row r="186" spans="1:15">
      <c r="A186">
        <f t="shared" si="30"/>
        <v>175</v>
      </c>
      <c r="C186" s="5">
        <v>3</v>
      </c>
      <c r="D186" s="56">
        <f>D185+Habitat!$C$25</f>
        <v>1675</v>
      </c>
      <c r="E186" s="48">
        <f t="shared" si="31"/>
        <v>900</v>
      </c>
      <c r="F186" s="3">
        <f>Habitat!$D$22*D186</f>
        <v>20.647798742138363</v>
      </c>
      <c r="G186" s="3">
        <f t="shared" si="26"/>
        <v>0</v>
      </c>
      <c r="H186" s="3">
        <f>IF(D186&lt;$C$7,0,IF(D186&gt;$C$6,0,1))</f>
        <v>0</v>
      </c>
      <c r="I186" s="47">
        <f t="shared" si="23"/>
        <v>0</v>
      </c>
      <c r="J186" s="48">
        <f>IF(C186=1,I186*Habitat!$I$36,0)+IF(C186=2,I186*Habitat!$J$36,0)+IF(C186=3,I186*Habitat!$K$36,0)+IF(C186=4,I186*Habitat!$L$36,0)+IF(C186=5,I186*Habitat!$M$36,0)</f>
        <v>0</v>
      </c>
      <c r="K186" s="48">
        <f>IF(C186=1,I186*Habitat!$I$35,0)+IF(C186=2,I186*Habitat!$J$35,0)+IF(C186=3,I186*Habitat!$K$35,0)+IF(C186=4,I186*Habitat!$L$35,0)+IF(C186=5,I186*Habitat!$M$35,0)</f>
        <v>0</v>
      </c>
      <c r="L186" s="48">
        <f>IF(C186=1,I186*Habitat!$I$34,0)+IF(C186=2,I186*Habitat!$J$34,0)+IF(C186=3,I186*Habitat!$K$34,0)+IF(C186=4,I186*Habitat!$L$34,0)+IF(C186=5,I186*Habitat!$M$34,0)</f>
        <v>0</v>
      </c>
      <c r="M186" s="48">
        <f>IF(C186=1,I186*Habitat!$I$37,0)+IF(C186=2,I186*Habitat!$J$37,0)+IF(C186=3,I186*Habitat!$K$37,0)+IF(C186=4,I186*Habitat!$L$37,0)+IF(C186=5,I186*Habitat!$M$37,0)</f>
        <v>0</v>
      </c>
      <c r="N186" s="48">
        <f>IF(C186=1,I186*Habitat!$I$38,0)+IF(C186=2,I186*Habitat!$J$38,0)+IF(C186=3,I186*Habitat!$K$38,0)+IF(C186=4,I186*Habitat!$L$38,0)+IF(C186=5,I186*Habitat!$M$38,0)</f>
        <v>0</v>
      </c>
      <c r="O186">
        <f>IF(C186=1,I186*Habitat!$I$39,0)+IF(C186=2,I186*Habitat!$J$39,0)+IF(C186=3,I186*Habitat!$K$39,0)+IF(C186=4,I186*Habitat!$L$39,0)+IF(C186=5,I186*Habitat!$M$39,0)</f>
        <v>0</v>
      </c>
    </row>
    <row r="187" spans="1:15">
      <c r="A187">
        <f t="shared" si="30"/>
        <v>176</v>
      </c>
      <c r="C187" s="5">
        <v>3</v>
      </c>
      <c r="D187" s="56">
        <f>D186+Habitat!$C$25</f>
        <v>1680</v>
      </c>
      <c r="E187" s="48">
        <f t="shared" si="31"/>
        <v>905</v>
      </c>
      <c r="F187" s="3">
        <f>Habitat!$D$22*D187</f>
        <v>20.70943396226415</v>
      </c>
      <c r="G187" s="3">
        <f t="shared" si="26"/>
        <v>0</v>
      </c>
      <c r="H187" s="3">
        <f>IF(D187&lt;$C$7,0,IF(D187&gt;$C$6,0,1))</f>
        <v>0</v>
      </c>
      <c r="I187" s="47">
        <f t="shared" si="23"/>
        <v>0</v>
      </c>
      <c r="J187" s="48">
        <f>IF(C187=1,I187*Habitat!$I$36,0)+IF(C187=2,I187*Habitat!$J$36,0)+IF(C187=3,I187*Habitat!$K$36,0)+IF(C187=4,I187*Habitat!$L$36,0)+IF(C187=5,I187*Habitat!$M$36,0)</f>
        <v>0</v>
      </c>
      <c r="K187" s="48">
        <f>IF(C187=1,I187*Habitat!$I$35,0)+IF(C187=2,I187*Habitat!$J$35,0)+IF(C187=3,I187*Habitat!$K$35,0)+IF(C187=4,I187*Habitat!$L$35,0)+IF(C187=5,I187*Habitat!$M$35,0)</f>
        <v>0</v>
      </c>
      <c r="L187" s="48">
        <f>IF(C187=1,I187*Habitat!$I$34,0)+IF(C187=2,I187*Habitat!$J$34,0)+IF(C187=3,I187*Habitat!$K$34,0)+IF(C187=4,I187*Habitat!$L$34,0)+IF(C187=5,I187*Habitat!$M$34,0)</f>
        <v>0</v>
      </c>
      <c r="M187" s="48">
        <f>IF(C187=1,I187*Habitat!$I$37,0)+IF(C187=2,I187*Habitat!$J$37,0)+IF(C187=3,I187*Habitat!$K$37,0)+IF(C187=4,I187*Habitat!$L$37,0)+IF(C187=5,I187*Habitat!$M$37,0)</f>
        <v>0</v>
      </c>
      <c r="N187" s="48">
        <f>IF(C187=1,I187*Habitat!$I$38,0)+IF(C187=2,I187*Habitat!$J$38,0)+IF(C187=3,I187*Habitat!$K$38,0)+IF(C187=4,I187*Habitat!$L$38,0)+IF(C187=5,I187*Habitat!$M$38,0)</f>
        <v>0</v>
      </c>
      <c r="O187">
        <f>IF(C187=1,I187*Habitat!$I$39,0)+IF(C187=2,I187*Habitat!$J$39,0)+IF(C187=3,I187*Habitat!$K$39,0)+IF(C187=4,I187*Habitat!$L$39,0)+IF(C187=5,I187*Habitat!$M$39,0)</f>
        <v>0</v>
      </c>
    </row>
    <row r="188" spans="1:15">
      <c r="A188">
        <f t="shared" si="30"/>
        <v>177</v>
      </c>
      <c r="C188" s="5">
        <v>3</v>
      </c>
      <c r="D188" s="56">
        <f>D187+Habitat!$C$25</f>
        <v>1685</v>
      </c>
      <c r="E188" s="48">
        <f t="shared" si="31"/>
        <v>910</v>
      </c>
      <c r="F188" s="3">
        <f>Habitat!$D$22*D188</f>
        <v>20.771069182389937</v>
      </c>
      <c r="G188" s="3">
        <f t="shared" si="26"/>
        <v>0</v>
      </c>
      <c r="H188" s="3">
        <f>IF(D188&lt;$C$7,0,IF(D188&gt;$C$6,0,1))</f>
        <v>0</v>
      </c>
      <c r="I188" s="47">
        <f t="shared" si="23"/>
        <v>0</v>
      </c>
      <c r="J188" s="48">
        <f>IF(C188=1,I188*Habitat!$I$36,0)+IF(C188=2,I188*Habitat!$J$36,0)+IF(C188=3,I188*Habitat!$K$36,0)+IF(C188=4,I188*Habitat!$L$36,0)+IF(C188=5,I188*Habitat!$M$36,0)</f>
        <v>0</v>
      </c>
      <c r="K188" s="48">
        <f>IF(C188=1,I188*Habitat!$I$35,0)+IF(C188=2,I188*Habitat!$J$35,0)+IF(C188=3,I188*Habitat!$K$35,0)+IF(C188=4,I188*Habitat!$L$35,0)+IF(C188=5,I188*Habitat!$M$35,0)</f>
        <v>0</v>
      </c>
      <c r="L188" s="48">
        <f>IF(C188=1,I188*Habitat!$I$34,0)+IF(C188=2,I188*Habitat!$J$34,0)+IF(C188=3,I188*Habitat!$K$34,0)+IF(C188=4,I188*Habitat!$L$34,0)+IF(C188=5,I188*Habitat!$M$34,0)</f>
        <v>0</v>
      </c>
      <c r="M188" s="48">
        <f>IF(C188=1,I188*Habitat!$I$37,0)+IF(C188=2,I188*Habitat!$J$37,0)+IF(C188=3,I188*Habitat!$K$37,0)+IF(C188=4,I188*Habitat!$L$37,0)+IF(C188=5,I188*Habitat!$M$37,0)</f>
        <v>0</v>
      </c>
      <c r="N188" s="48">
        <f>IF(C188=1,I188*Habitat!$I$38,0)+IF(C188=2,I188*Habitat!$J$38,0)+IF(C188=3,I188*Habitat!$K$38,0)+IF(C188=4,I188*Habitat!$L$38,0)+IF(C188=5,I188*Habitat!$M$38,0)</f>
        <v>0</v>
      </c>
      <c r="O188">
        <f>IF(C188=1,I188*Habitat!$I$39,0)+IF(C188=2,I188*Habitat!$J$39,0)+IF(C188=3,I188*Habitat!$K$39,0)+IF(C188=4,I188*Habitat!$L$39,0)+IF(C188=5,I188*Habitat!$M$39,0)</f>
        <v>0</v>
      </c>
    </row>
    <row r="189" spans="1:15">
      <c r="A189">
        <f t="shared" si="30"/>
        <v>178</v>
      </c>
      <c r="C189" s="5">
        <v>3</v>
      </c>
      <c r="D189" s="56">
        <f>D188+Habitat!$C$25</f>
        <v>1690</v>
      </c>
      <c r="E189" s="48">
        <f t="shared" si="31"/>
        <v>915</v>
      </c>
      <c r="F189" s="3">
        <f>Habitat!$D$22*D189</f>
        <v>20.832704402515724</v>
      </c>
      <c r="G189" s="3">
        <f t="shared" si="26"/>
        <v>0</v>
      </c>
      <c r="H189" s="3">
        <f>IF(D189&lt;$C$7,0,IF(D189&gt;$C$6,0,1))</f>
        <v>0</v>
      </c>
      <c r="I189" s="47">
        <f t="shared" si="23"/>
        <v>0</v>
      </c>
      <c r="J189" s="48">
        <f>IF(C189=1,I189*Habitat!$I$36,0)+IF(C189=2,I189*Habitat!$J$36,0)+IF(C189=3,I189*Habitat!$K$36,0)+IF(C189=4,I189*Habitat!$L$36,0)+IF(C189=5,I189*Habitat!$M$36,0)</f>
        <v>0</v>
      </c>
      <c r="K189" s="48">
        <f>IF(C189=1,I189*Habitat!$I$35,0)+IF(C189=2,I189*Habitat!$J$35,0)+IF(C189=3,I189*Habitat!$K$35,0)+IF(C189=4,I189*Habitat!$L$35,0)+IF(C189=5,I189*Habitat!$M$35,0)</f>
        <v>0</v>
      </c>
      <c r="L189" s="48">
        <f>IF(C189=1,I189*Habitat!$I$34,0)+IF(C189=2,I189*Habitat!$J$34,0)+IF(C189=3,I189*Habitat!$K$34,0)+IF(C189=4,I189*Habitat!$L$34,0)+IF(C189=5,I189*Habitat!$M$34,0)</f>
        <v>0</v>
      </c>
      <c r="M189" s="48">
        <f>IF(C189=1,I189*Habitat!$I$37,0)+IF(C189=2,I189*Habitat!$J$37,0)+IF(C189=3,I189*Habitat!$K$37,0)+IF(C189=4,I189*Habitat!$L$37,0)+IF(C189=5,I189*Habitat!$M$37,0)</f>
        <v>0</v>
      </c>
      <c r="N189" s="48">
        <f>IF(C189=1,I189*Habitat!$I$38,0)+IF(C189=2,I189*Habitat!$J$38,0)+IF(C189=3,I189*Habitat!$K$38,0)+IF(C189=4,I189*Habitat!$L$38,0)+IF(C189=5,I189*Habitat!$M$38,0)</f>
        <v>0</v>
      </c>
      <c r="O189">
        <f>IF(C189=1,I189*Habitat!$I$39,0)+IF(C189=2,I189*Habitat!$J$39,0)+IF(C189=3,I189*Habitat!$K$39,0)+IF(C189=4,I189*Habitat!$L$39,0)+IF(C189=5,I189*Habitat!$M$39,0)</f>
        <v>0</v>
      </c>
    </row>
    <row r="190" spans="1:15">
      <c r="A190">
        <f t="shared" si="30"/>
        <v>179</v>
      </c>
      <c r="C190" s="5">
        <v>3</v>
      </c>
      <c r="D190" s="56">
        <f>D189+Habitat!$C$25</f>
        <v>1695</v>
      </c>
      <c r="E190" s="48">
        <f t="shared" si="31"/>
        <v>920</v>
      </c>
      <c r="F190" s="3">
        <f>Habitat!$D$22*D190</f>
        <v>20.89433962264151</v>
      </c>
      <c r="G190" s="3">
        <f t="shared" si="26"/>
        <v>0</v>
      </c>
      <c r="H190" s="3">
        <f>IF(D190&lt;$C$7,0,IF(D190&gt;$C$6,0,1))</f>
        <v>0</v>
      </c>
      <c r="I190" s="47">
        <f t="shared" si="23"/>
        <v>0</v>
      </c>
      <c r="J190" s="48">
        <f>IF(C190=1,I190*Habitat!$I$36,0)+IF(C190=2,I190*Habitat!$J$36,0)+IF(C190=3,I190*Habitat!$K$36,0)+IF(C190=4,I190*Habitat!$L$36,0)+IF(C190=5,I190*Habitat!$M$36,0)</f>
        <v>0</v>
      </c>
      <c r="K190" s="48">
        <f>IF(C190=1,I190*Habitat!$I$35,0)+IF(C190=2,I190*Habitat!$J$35,0)+IF(C190=3,I190*Habitat!$K$35,0)+IF(C190=4,I190*Habitat!$L$35,0)+IF(C190=5,I190*Habitat!$M$35,0)</f>
        <v>0</v>
      </c>
      <c r="L190" s="48">
        <f>IF(C190=1,I190*Habitat!$I$34,0)+IF(C190=2,I190*Habitat!$J$34,0)+IF(C190=3,I190*Habitat!$K$34,0)+IF(C190=4,I190*Habitat!$L$34,0)+IF(C190=5,I190*Habitat!$M$34,0)</f>
        <v>0</v>
      </c>
      <c r="M190" s="48">
        <f>IF(C190=1,I190*Habitat!$I$37,0)+IF(C190=2,I190*Habitat!$J$37,0)+IF(C190=3,I190*Habitat!$K$37,0)+IF(C190=4,I190*Habitat!$L$37,0)+IF(C190=5,I190*Habitat!$M$37,0)</f>
        <v>0</v>
      </c>
      <c r="N190" s="48">
        <f>IF(C190=1,I190*Habitat!$I$38,0)+IF(C190=2,I190*Habitat!$J$38,0)+IF(C190=3,I190*Habitat!$K$38,0)+IF(C190=4,I190*Habitat!$L$38,0)+IF(C190=5,I190*Habitat!$M$38,0)</f>
        <v>0</v>
      </c>
      <c r="O190">
        <f>IF(C190=1,I190*Habitat!$I$39,0)+IF(C190=2,I190*Habitat!$J$39,0)+IF(C190=3,I190*Habitat!$K$39,0)+IF(C190=4,I190*Habitat!$L$39,0)+IF(C190=5,I190*Habitat!$M$39,0)</f>
        <v>0</v>
      </c>
    </row>
    <row r="191" spans="1:15">
      <c r="A191">
        <f t="shared" si="30"/>
        <v>180</v>
      </c>
      <c r="C191" s="5">
        <v>3</v>
      </c>
      <c r="D191" s="56">
        <f>D190+Habitat!$C$25</f>
        <v>1700</v>
      </c>
      <c r="E191" s="48">
        <f t="shared" si="31"/>
        <v>925</v>
      </c>
      <c r="F191" s="3">
        <f>Habitat!$D$22*D191</f>
        <v>20.955974842767297</v>
      </c>
      <c r="G191" s="3">
        <f t="shared" si="26"/>
        <v>0</v>
      </c>
      <c r="H191" s="3">
        <f>IF(D191&lt;$C$7,0,IF(D191&gt;$C$6,0,1))</f>
        <v>0</v>
      </c>
      <c r="I191" s="47">
        <f t="shared" ref="I191:I213" si="32">PI()*D191*D191*$C$9*H191</f>
        <v>0</v>
      </c>
      <c r="J191" s="48">
        <f>IF(C191=1,I191*Habitat!$I$36,0)+IF(C191=2,I191*Habitat!$J$36,0)+IF(C191=3,I191*Habitat!$K$36,0)+IF(C191=4,I191*Habitat!$L$36,0)+IF(C191=5,I191*Habitat!$M$36,0)</f>
        <v>0</v>
      </c>
      <c r="K191" s="48">
        <f>IF(C191=1,I191*Habitat!$I$35,0)+IF(C191=2,I191*Habitat!$J$35,0)+IF(C191=3,I191*Habitat!$K$35,0)+IF(C191=4,I191*Habitat!$L$35,0)+IF(C191=5,I191*Habitat!$M$35,0)</f>
        <v>0</v>
      </c>
      <c r="L191" s="48">
        <f>IF(C191=1,I191*Habitat!$I$34,0)+IF(C191=2,I191*Habitat!$J$34,0)+IF(C191=3,I191*Habitat!$K$34,0)+IF(C191=4,I191*Habitat!$L$34,0)+IF(C191=5,I191*Habitat!$M$34,0)</f>
        <v>0</v>
      </c>
      <c r="M191" s="48">
        <f>IF(C191=1,I191*Habitat!$I$37,0)+IF(C191=2,I191*Habitat!$J$37,0)+IF(C191=3,I191*Habitat!$K$37,0)+IF(C191=4,I191*Habitat!$L$37,0)+IF(C191=5,I191*Habitat!$M$37,0)</f>
        <v>0</v>
      </c>
      <c r="N191" s="48">
        <f>IF(C191=1,I191*Habitat!$I$38,0)+IF(C191=2,I191*Habitat!$J$38,0)+IF(C191=3,I191*Habitat!$K$38,0)+IF(C191=4,I191*Habitat!$L$38,0)+IF(C191=5,I191*Habitat!$M$38,0)</f>
        <v>0</v>
      </c>
      <c r="O191">
        <f>IF(C191=1,I191*Habitat!$I$39,0)+IF(C191=2,I191*Habitat!$J$39,0)+IF(C191=3,I191*Habitat!$K$39,0)+IF(C191=4,I191*Habitat!$L$39,0)+IF(C191=5,I191*Habitat!$M$39,0)</f>
        <v>0</v>
      </c>
    </row>
    <row r="192" spans="1:15">
      <c r="A192">
        <f t="shared" si="30"/>
        <v>181</v>
      </c>
      <c r="C192" s="5">
        <v>3</v>
      </c>
      <c r="D192" s="56">
        <f>D191+Habitat!$C$25</f>
        <v>1705</v>
      </c>
      <c r="E192" s="48">
        <f t="shared" si="31"/>
        <v>930</v>
      </c>
      <c r="F192" s="3">
        <f>Habitat!$D$22*D192</f>
        <v>21.01761006289308</v>
      </c>
      <c r="G192" s="3">
        <f t="shared" si="26"/>
        <v>0</v>
      </c>
      <c r="H192" s="3">
        <f>IF(D192&lt;$C$7,0,IF(D192&gt;$C$6,0,1))</f>
        <v>0</v>
      </c>
      <c r="I192" s="47">
        <f t="shared" si="32"/>
        <v>0</v>
      </c>
      <c r="J192" s="48">
        <f>IF(C192=1,I192*Habitat!$I$36,0)+IF(C192=2,I192*Habitat!$J$36,0)+IF(C192=3,I192*Habitat!$K$36,0)+IF(C192=4,I192*Habitat!$L$36,0)+IF(C192=5,I192*Habitat!$M$36,0)</f>
        <v>0</v>
      </c>
      <c r="K192" s="48">
        <f>IF(C192=1,I192*Habitat!$I$35,0)+IF(C192=2,I192*Habitat!$J$35,0)+IF(C192=3,I192*Habitat!$K$35,0)+IF(C192=4,I192*Habitat!$L$35,0)+IF(C192=5,I192*Habitat!$M$35,0)</f>
        <v>0</v>
      </c>
      <c r="L192" s="48">
        <f>IF(C192=1,I192*Habitat!$I$34,0)+IF(C192=2,I192*Habitat!$J$34,0)+IF(C192=3,I192*Habitat!$K$34,0)+IF(C192=4,I192*Habitat!$L$34,0)+IF(C192=5,I192*Habitat!$M$34,0)</f>
        <v>0</v>
      </c>
      <c r="M192" s="48">
        <f>IF(C192=1,I192*Habitat!$I$37,0)+IF(C192=2,I192*Habitat!$J$37,0)+IF(C192=3,I192*Habitat!$K$37,0)+IF(C192=4,I192*Habitat!$L$37,0)+IF(C192=5,I192*Habitat!$M$37,0)</f>
        <v>0</v>
      </c>
      <c r="N192" s="48">
        <f>IF(C192=1,I192*Habitat!$I$38,0)+IF(C192=2,I192*Habitat!$J$38,0)+IF(C192=3,I192*Habitat!$K$38,0)+IF(C192=4,I192*Habitat!$L$38,0)+IF(C192=5,I192*Habitat!$M$38,0)</f>
        <v>0</v>
      </c>
      <c r="O192">
        <f>IF(C192=1,I192*Habitat!$I$39,0)+IF(C192=2,I192*Habitat!$J$39,0)+IF(C192=3,I192*Habitat!$K$39,0)+IF(C192=4,I192*Habitat!$L$39,0)+IF(C192=5,I192*Habitat!$M$39,0)</f>
        <v>0</v>
      </c>
    </row>
    <row r="193" spans="1:15">
      <c r="A193">
        <f t="shared" si="30"/>
        <v>182</v>
      </c>
      <c r="C193" s="5">
        <v>3</v>
      </c>
      <c r="D193" s="56">
        <f>D192+Habitat!$C$25</f>
        <v>1710</v>
      </c>
      <c r="E193" s="48">
        <f t="shared" si="31"/>
        <v>935</v>
      </c>
      <c r="F193" s="3">
        <f>Habitat!$D$22*D193</f>
        <v>21.079245283018867</v>
      </c>
      <c r="G193" s="3">
        <f t="shared" si="26"/>
        <v>0</v>
      </c>
      <c r="H193" s="3">
        <f>IF(D193&lt;$C$7,0,IF(D193&gt;$C$6,0,1))</f>
        <v>0</v>
      </c>
      <c r="I193" s="47">
        <f t="shared" si="32"/>
        <v>0</v>
      </c>
      <c r="J193" s="48">
        <f>IF(C193=1,I193*Habitat!$I$36,0)+IF(C193=2,I193*Habitat!$J$36,0)+IF(C193=3,I193*Habitat!$K$36,0)+IF(C193=4,I193*Habitat!$L$36,0)+IF(C193=5,I193*Habitat!$M$36,0)</f>
        <v>0</v>
      </c>
      <c r="K193" s="48">
        <f>IF(C193=1,I193*Habitat!$I$35,0)+IF(C193=2,I193*Habitat!$J$35,0)+IF(C193=3,I193*Habitat!$K$35,0)+IF(C193=4,I193*Habitat!$L$35,0)+IF(C193=5,I193*Habitat!$M$35,0)</f>
        <v>0</v>
      </c>
      <c r="L193" s="48">
        <f>IF(C193=1,I193*Habitat!$I$34,0)+IF(C193=2,I193*Habitat!$J$34,0)+IF(C193=3,I193*Habitat!$K$34,0)+IF(C193=4,I193*Habitat!$L$34,0)+IF(C193=5,I193*Habitat!$M$34,0)</f>
        <v>0</v>
      </c>
      <c r="M193" s="48">
        <f>IF(C193=1,I193*Habitat!$I$37,0)+IF(C193=2,I193*Habitat!$J$37,0)+IF(C193=3,I193*Habitat!$K$37,0)+IF(C193=4,I193*Habitat!$L$37,0)+IF(C193=5,I193*Habitat!$M$37,0)</f>
        <v>0</v>
      </c>
      <c r="N193" s="48">
        <f>IF(C193=1,I193*Habitat!$I$38,0)+IF(C193=2,I193*Habitat!$J$38,0)+IF(C193=3,I193*Habitat!$K$38,0)+IF(C193=4,I193*Habitat!$L$38,0)+IF(C193=5,I193*Habitat!$M$38,0)</f>
        <v>0</v>
      </c>
      <c r="O193">
        <f>IF(C193=1,I193*Habitat!$I$39,0)+IF(C193=2,I193*Habitat!$J$39,0)+IF(C193=3,I193*Habitat!$K$39,0)+IF(C193=4,I193*Habitat!$L$39,0)+IF(C193=5,I193*Habitat!$M$39,0)</f>
        <v>0</v>
      </c>
    </row>
    <row r="194" spans="1:15">
      <c r="A194">
        <f t="shared" si="30"/>
        <v>183</v>
      </c>
      <c r="C194" s="5">
        <v>3</v>
      </c>
      <c r="D194" s="56">
        <f>D193+Habitat!$C$25</f>
        <v>1715</v>
      </c>
      <c r="E194" s="48">
        <f t="shared" si="31"/>
        <v>940</v>
      </c>
      <c r="F194" s="3">
        <f>Habitat!$D$22*D194</f>
        <v>21.140880503144654</v>
      </c>
      <c r="G194" s="3">
        <f t="shared" si="26"/>
        <v>0</v>
      </c>
      <c r="H194" s="3">
        <f>IF(D194&lt;$C$7,0,IF(D194&gt;$C$6,0,1))</f>
        <v>0</v>
      </c>
      <c r="I194" s="47">
        <f t="shared" si="32"/>
        <v>0</v>
      </c>
      <c r="J194" s="48">
        <f>IF(C194=1,I194*Habitat!$I$36,0)+IF(C194=2,I194*Habitat!$J$36,0)+IF(C194=3,I194*Habitat!$K$36,0)+IF(C194=4,I194*Habitat!$L$36,0)+IF(C194=5,I194*Habitat!$M$36,0)</f>
        <v>0</v>
      </c>
      <c r="K194" s="48">
        <f>IF(C194=1,I194*Habitat!$I$35,0)+IF(C194=2,I194*Habitat!$J$35,0)+IF(C194=3,I194*Habitat!$K$35,0)+IF(C194=4,I194*Habitat!$L$35,0)+IF(C194=5,I194*Habitat!$M$35,0)</f>
        <v>0</v>
      </c>
      <c r="L194" s="48">
        <f>IF(C194=1,I194*Habitat!$I$34,0)+IF(C194=2,I194*Habitat!$J$34,0)+IF(C194=3,I194*Habitat!$K$34,0)+IF(C194=4,I194*Habitat!$L$34,0)+IF(C194=5,I194*Habitat!$M$34,0)</f>
        <v>0</v>
      </c>
      <c r="M194" s="48">
        <f>IF(C194=1,I194*Habitat!$I$37,0)+IF(C194=2,I194*Habitat!$J$37,0)+IF(C194=3,I194*Habitat!$K$37,0)+IF(C194=4,I194*Habitat!$L$37,0)+IF(C194=5,I194*Habitat!$M$37,0)</f>
        <v>0</v>
      </c>
      <c r="N194" s="48">
        <f>IF(C194=1,I194*Habitat!$I$38,0)+IF(C194=2,I194*Habitat!$J$38,0)+IF(C194=3,I194*Habitat!$K$38,0)+IF(C194=4,I194*Habitat!$L$38,0)+IF(C194=5,I194*Habitat!$M$38,0)</f>
        <v>0</v>
      </c>
      <c r="O194">
        <f>IF(C194=1,I194*Habitat!$I$39,0)+IF(C194=2,I194*Habitat!$J$39,0)+IF(C194=3,I194*Habitat!$K$39,0)+IF(C194=4,I194*Habitat!$L$39,0)+IF(C194=5,I194*Habitat!$M$39,0)</f>
        <v>0</v>
      </c>
    </row>
    <row r="195" spans="1:15">
      <c r="A195">
        <f t="shared" si="30"/>
        <v>184</v>
      </c>
      <c r="C195" s="5">
        <v>3</v>
      </c>
      <c r="D195" s="56">
        <f>D194+Habitat!$C$25</f>
        <v>1720</v>
      </c>
      <c r="E195" s="48">
        <f t="shared" si="31"/>
        <v>945</v>
      </c>
      <c r="F195" s="3">
        <f>Habitat!$D$22*D195</f>
        <v>21.202515723270441</v>
      </c>
      <c r="G195" s="3">
        <f t="shared" si="26"/>
        <v>0</v>
      </c>
      <c r="H195" s="3">
        <f>IF(D195&lt;$C$7,0,IF(D195&gt;$C$6,0,1))</f>
        <v>0</v>
      </c>
      <c r="I195" s="47">
        <f t="shared" si="32"/>
        <v>0</v>
      </c>
      <c r="J195" s="48">
        <f>IF(C195=1,I195*Habitat!$I$36,0)+IF(C195=2,I195*Habitat!$J$36,0)+IF(C195=3,I195*Habitat!$K$36,0)+IF(C195=4,I195*Habitat!$L$36,0)+IF(C195=5,I195*Habitat!$M$36,0)</f>
        <v>0</v>
      </c>
      <c r="K195" s="48">
        <f>IF(C195=1,I195*Habitat!$I$35,0)+IF(C195=2,I195*Habitat!$J$35,0)+IF(C195=3,I195*Habitat!$K$35,0)+IF(C195=4,I195*Habitat!$L$35,0)+IF(C195=5,I195*Habitat!$M$35,0)</f>
        <v>0</v>
      </c>
      <c r="L195" s="48">
        <f>IF(C195=1,I195*Habitat!$I$34,0)+IF(C195=2,I195*Habitat!$J$34,0)+IF(C195=3,I195*Habitat!$K$34,0)+IF(C195=4,I195*Habitat!$L$34,0)+IF(C195=5,I195*Habitat!$M$34,0)</f>
        <v>0</v>
      </c>
      <c r="M195" s="48">
        <f>IF(C195=1,I195*Habitat!$I$37,0)+IF(C195=2,I195*Habitat!$J$37,0)+IF(C195=3,I195*Habitat!$K$37,0)+IF(C195=4,I195*Habitat!$L$37,0)+IF(C195=5,I195*Habitat!$M$37,0)</f>
        <v>0</v>
      </c>
      <c r="N195" s="48">
        <f>IF(C195=1,I195*Habitat!$I$38,0)+IF(C195=2,I195*Habitat!$J$38,0)+IF(C195=3,I195*Habitat!$K$38,0)+IF(C195=4,I195*Habitat!$L$38,0)+IF(C195=5,I195*Habitat!$M$38,0)</f>
        <v>0</v>
      </c>
      <c r="O195">
        <f>IF(C195=1,I195*Habitat!$I$39,0)+IF(C195=2,I195*Habitat!$J$39,0)+IF(C195=3,I195*Habitat!$K$39,0)+IF(C195=4,I195*Habitat!$L$39,0)+IF(C195=5,I195*Habitat!$M$39,0)</f>
        <v>0</v>
      </c>
    </row>
    <row r="196" spans="1:15">
      <c r="A196">
        <f t="shared" si="30"/>
        <v>185</v>
      </c>
      <c r="C196" s="5">
        <v>3</v>
      </c>
      <c r="D196" s="56">
        <f>D195+Habitat!$C$25</f>
        <v>1725</v>
      </c>
      <c r="E196" s="48">
        <f t="shared" si="31"/>
        <v>950</v>
      </c>
      <c r="F196" s="3">
        <f>Habitat!$D$22*D196</f>
        <v>21.264150943396228</v>
      </c>
      <c r="G196" s="3">
        <f t="shared" si="26"/>
        <v>0</v>
      </c>
      <c r="H196" s="3">
        <f>IF(D196&lt;$C$7,0,IF(D196&gt;$C$6,0,1))</f>
        <v>0</v>
      </c>
      <c r="I196" s="47">
        <f t="shared" si="32"/>
        <v>0</v>
      </c>
      <c r="J196" s="48">
        <f>IF(C196=1,I196*Habitat!$I$36,0)+IF(C196=2,I196*Habitat!$J$36,0)+IF(C196=3,I196*Habitat!$K$36,0)+IF(C196=4,I196*Habitat!$L$36,0)+IF(C196=5,I196*Habitat!$M$36,0)</f>
        <v>0</v>
      </c>
      <c r="K196" s="48">
        <f>IF(C196=1,I196*Habitat!$I$35,0)+IF(C196=2,I196*Habitat!$J$35,0)+IF(C196=3,I196*Habitat!$K$35,0)+IF(C196=4,I196*Habitat!$L$35,0)+IF(C196=5,I196*Habitat!$M$35,0)</f>
        <v>0</v>
      </c>
      <c r="L196" s="48">
        <f>IF(C196=1,I196*Habitat!$I$34,0)+IF(C196=2,I196*Habitat!$J$34,0)+IF(C196=3,I196*Habitat!$K$34,0)+IF(C196=4,I196*Habitat!$L$34,0)+IF(C196=5,I196*Habitat!$M$34,0)</f>
        <v>0</v>
      </c>
      <c r="M196" s="48">
        <f>IF(C196=1,I196*Habitat!$I$37,0)+IF(C196=2,I196*Habitat!$J$37,0)+IF(C196=3,I196*Habitat!$K$37,0)+IF(C196=4,I196*Habitat!$L$37,0)+IF(C196=5,I196*Habitat!$M$37,0)</f>
        <v>0</v>
      </c>
      <c r="N196" s="48">
        <f>IF(C196=1,I196*Habitat!$I$38,0)+IF(C196=2,I196*Habitat!$J$38,0)+IF(C196=3,I196*Habitat!$K$38,0)+IF(C196=4,I196*Habitat!$L$38,0)+IF(C196=5,I196*Habitat!$M$38,0)</f>
        <v>0</v>
      </c>
      <c r="O196">
        <f>IF(C196=1,I196*Habitat!$I$39,0)+IF(C196=2,I196*Habitat!$J$39,0)+IF(C196=3,I196*Habitat!$K$39,0)+IF(C196=4,I196*Habitat!$L$39,0)+IF(C196=5,I196*Habitat!$M$39,0)</f>
        <v>0</v>
      </c>
    </row>
    <row r="197" spans="1:15">
      <c r="A197">
        <f t="shared" si="30"/>
        <v>186</v>
      </c>
      <c r="C197" s="5">
        <v>3</v>
      </c>
      <c r="D197" s="56">
        <f>D196+Habitat!$C$25</f>
        <v>1730</v>
      </c>
      <c r="E197" s="48">
        <f t="shared" si="31"/>
        <v>955</v>
      </c>
      <c r="F197" s="3">
        <f>Habitat!$D$22*D197</f>
        <v>21.325786163522011</v>
      </c>
      <c r="G197" s="3">
        <f t="shared" si="26"/>
        <v>0</v>
      </c>
      <c r="H197" s="3">
        <f>IF(D197&lt;$C$7,0,IF(D197&gt;$C$6,0,1))</f>
        <v>0</v>
      </c>
      <c r="I197" s="47">
        <f t="shared" si="32"/>
        <v>0</v>
      </c>
      <c r="J197" s="48">
        <f>IF(C197=1,I197*Habitat!$I$36,0)+IF(C197=2,I197*Habitat!$J$36,0)+IF(C197=3,I197*Habitat!$K$36,0)+IF(C197=4,I197*Habitat!$L$36,0)+IF(C197=5,I197*Habitat!$M$36,0)</f>
        <v>0</v>
      </c>
      <c r="K197" s="48">
        <f>IF(C197=1,I197*Habitat!$I$35,0)+IF(C197=2,I197*Habitat!$J$35,0)+IF(C197=3,I197*Habitat!$K$35,0)+IF(C197=4,I197*Habitat!$L$35,0)+IF(C197=5,I197*Habitat!$M$35,0)</f>
        <v>0</v>
      </c>
      <c r="L197" s="48">
        <f>IF(C197=1,I197*Habitat!$I$34,0)+IF(C197=2,I197*Habitat!$J$34,0)+IF(C197=3,I197*Habitat!$K$34,0)+IF(C197=4,I197*Habitat!$L$34,0)+IF(C197=5,I197*Habitat!$M$34,0)</f>
        <v>0</v>
      </c>
      <c r="M197" s="48">
        <f>IF(C197=1,I197*Habitat!$I$37,0)+IF(C197=2,I197*Habitat!$J$37,0)+IF(C197=3,I197*Habitat!$K$37,0)+IF(C197=4,I197*Habitat!$L$37,0)+IF(C197=5,I197*Habitat!$M$37,0)</f>
        <v>0</v>
      </c>
      <c r="N197" s="48">
        <f>IF(C197=1,I197*Habitat!$I$38,0)+IF(C197=2,I197*Habitat!$J$38,0)+IF(C197=3,I197*Habitat!$K$38,0)+IF(C197=4,I197*Habitat!$L$38,0)+IF(C197=5,I197*Habitat!$M$38,0)</f>
        <v>0</v>
      </c>
      <c r="O197">
        <f>IF(C197=1,I197*Habitat!$I$39,0)+IF(C197=2,I197*Habitat!$J$39,0)+IF(C197=3,I197*Habitat!$K$39,0)+IF(C197=4,I197*Habitat!$L$39,0)+IF(C197=5,I197*Habitat!$M$39,0)</f>
        <v>0</v>
      </c>
    </row>
    <row r="198" spans="1:15">
      <c r="A198">
        <f t="shared" si="30"/>
        <v>187</v>
      </c>
      <c r="C198" s="5">
        <v>3</v>
      </c>
      <c r="D198" s="56">
        <f>D197+Habitat!$C$25</f>
        <v>1735</v>
      </c>
      <c r="E198" s="48">
        <f t="shared" si="31"/>
        <v>960</v>
      </c>
      <c r="F198" s="3">
        <f>Habitat!$D$22*D198</f>
        <v>21.387421383647798</v>
      </c>
      <c r="G198" s="3">
        <f t="shared" si="26"/>
        <v>0</v>
      </c>
      <c r="H198" s="3">
        <f>IF(D198&lt;$C$7,0,IF(D198&gt;$C$6,0,1))</f>
        <v>0</v>
      </c>
      <c r="I198" s="47">
        <f t="shared" si="32"/>
        <v>0</v>
      </c>
      <c r="J198" s="48">
        <f>IF(C198=1,I198*Habitat!$I$36,0)+IF(C198=2,I198*Habitat!$J$36,0)+IF(C198=3,I198*Habitat!$K$36,0)+IF(C198=4,I198*Habitat!$L$36,0)+IF(C198=5,I198*Habitat!$M$36,0)</f>
        <v>0</v>
      </c>
      <c r="K198" s="48">
        <f>IF(C198=1,I198*Habitat!$I$35,0)+IF(C198=2,I198*Habitat!$J$35,0)+IF(C198=3,I198*Habitat!$K$35,0)+IF(C198=4,I198*Habitat!$L$35,0)+IF(C198=5,I198*Habitat!$M$35,0)</f>
        <v>0</v>
      </c>
      <c r="L198" s="48">
        <f>IF(C198=1,I198*Habitat!$I$34,0)+IF(C198=2,I198*Habitat!$J$34,0)+IF(C198=3,I198*Habitat!$K$34,0)+IF(C198=4,I198*Habitat!$L$34,0)+IF(C198=5,I198*Habitat!$M$34,0)</f>
        <v>0</v>
      </c>
      <c r="M198" s="48">
        <f>IF(C198=1,I198*Habitat!$I$37,0)+IF(C198=2,I198*Habitat!$J$37,0)+IF(C198=3,I198*Habitat!$K$37,0)+IF(C198=4,I198*Habitat!$L$37,0)+IF(C198=5,I198*Habitat!$M$37,0)</f>
        <v>0</v>
      </c>
      <c r="N198" s="48">
        <f>IF(C198=1,I198*Habitat!$I$38,0)+IF(C198=2,I198*Habitat!$J$38,0)+IF(C198=3,I198*Habitat!$K$38,0)+IF(C198=4,I198*Habitat!$L$38,0)+IF(C198=5,I198*Habitat!$M$38,0)</f>
        <v>0</v>
      </c>
      <c r="O198">
        <f>IF(C198=1,I198*Habitat!$I$39,0)+IF(C198=2,I198*Habitat!$J$39,0)+IF(C198=3,I198*Habitat!$K$39,0)+IF(C198=4,I198*Habitat!$L$39,0)+IF(C198=5,I198*Habitat!$M$39,0)</f>
        <v>0</v>
      </c>
    </row>
    <row r="199" spans="1:15">
      <c r="A199">
        <f t="shared" si="30"/>
        <v>188</v>
      </c>
      <c r="C199" s="5">
        <v>3</v>
      </c>
      <c r="D199" s="56">
        <f>D198+Habitat!$C$25</f>
        <v>1740</v>
      </c>
      <c r="E199" s="48">
        <f t="shared" si="31"/>
        <v>965</v>
      </c>
      <c r="F199" s="3">
        <f>Habitat!$D$22*D199</f>
        <v>21.449056603773585</v>
      </c>
      <c r="G199" s="3">
        <f t="shared" si="26"/>
        <v>0</v>
      </c>
      <c r="H199" s="3">
        <f>IF(D199&lt;$C$7,0,IF(D199&gt;$C$6,0,1))</f>
        <v>0</v>
      </c>
      <c r="I199" s="47">
        <f t="shared" si="32"/>
        <v>0</v>
      </c>
      <c r="J199" s="48">
        <f>IF(C199=1,I199*Habitat!$I$36,0)+IF(C199=2,I199*Habitat!$J$36,0)+IF(C199=3,I199*Habitat!$K$36,0)+IF(C199=4,I199*Habitat!$L$36,0)+IF(C199=5,I199*Habitat!$M$36,0)</f>
        <v>0</v>
      </c>
      <c r="K199" s="48">
        <f>IF(C199=1,I199*Habitat!$I$35,0)+IF(C199=2,I199*Habitat!$J$35,0)+IF(C199=3,I199*Habitat!$K$35,0)+IF(C199=4,I199*Habitat!$L$35,0)+IF(C199=5,I199*Habitat!$M$35,0)</f>
        <v>0</v>
      </c>
      <c r="L199" s="48">
        <f>IF(C199=1,I199*Habitat!$I$34,0)+IF(C199=2,I199*Habitat!$J$34,0)+IF(C199=3,I199*Habitat!$K$34,0)+IF(C199=4,I199*Habitat!$L$34,0)+IF(C199=5,I199*Habitat!$M$34,0)</f>
        <v>0</v>
      </c>
      <c r="M199" s="48">
        <f>IF(C199=1,I199*Habitat!$I$37,0)+IF(C199=2,I199*Habitat!$J$37,0)+IF(C199=3,I199*Habitat!$K$37,0)+IF(C199=4,I199*Habitat!$L$37,0)+IF(C199=5,I199*Habitat!$M$37,0)</f>
        <v>0</v>
      </c>
      <c r="N199" s="48">
        <f>IF(C199=1,I199*Habitat!$I$38,0)+IF(C199=2,I199*Habitat!$J$38,0)+IF(C199=3,I199*Habitat!$K$38,0)+IF(C199=4,I199*Habitat!$L$38,0)+IF(C199=5,I199*Habitat!$M$38,0)</f>
        <v>0</v>
      </c>
      <c r="O199">
        <f>IF(C199=1,I199*Habitat!$I$39,0)+IF(C199=2,I199*Habitat!$J$39,0)+IF(C199=3,I199*Habitat!$K$39,0)+IF(C199=4,I199*Habitat!$L$39,0)+IF(C199=5,I199*Habitat!$M$39,0)</f>
        <v>0</v>
      </c>
    </row>
    <row r="200" spans="1:15">
      <c r="A200">
        <f t="shared" si="30"/>
        <v>189</v>
      </c>
      <c r="C200" s="5">
        <v>3</v>
      </c>
      <c r="D200" s="56">
        <f>D199+Habitat!$C$25</f>
        <v>1745</v>
      </c>
      <c r="E200" s="48">
        <f t="shared" si="31"/>
        <v>970</v>
      </c>
      <c r="F200" s="3">
        <f>Habitat!$D$22*D200</f>
        <v>21.510691823899371</v>
      </c>
      <c r="G200" s="3">
        <f t="shared" si="26"/>
        <v>0</v>
      </c>
      <c r="H200" s="3">
        <f>IF(D200&lt;$C$7,0,IF(D200&gt;$C$6,0,1))</f>
        <v>0</v>
      </c>
      <c r="I200" s="47">
        <f t="shared" si="32"/>
        <v>0</v>
      </c>
      <c r="J200" s="48">
        <f>IF(C200=1,I200*Habitat!$I$36,0)+IF(C200=2,I200*Habitat!$J$36,0)+IF(C200=3,I200*Habitat!$K$36,0)+IF(C200=4,I200*Habitat!$L$36,0)+IF(C200=5,I200*Habitat!$M$36,0)</f>
        <v>0</v>
      </c>
      <c r="K200" s="48">
        <f>IF(C200=1,I200*Habitat!$I$35,0)+IF(C200=2,I200*Habitat!$J$35,0)+IF(C200=3,I200*Habitat!$K$35,0)+IF(C200=4,I200*Habitat!$L$35,0)+IF(C200=5,I200*Habitat!$M$35,0)</f>
        <v>0</v>
      </c>
      <c r="L200" s="48">
        <f>IF(C200=1,I200*Habitat!$I$34,0)+IF(C200=2,I200*Habitat!$J$34,0)+IF(C200=3,I200*Habitat!$K$34,0)+IF(C200=4,I200*Habitat!$L$34,0)+IF(C200=5,I200*Habitat!$M$34,0)</f>
        <v>0</v>
      </c>
      <c r="M200" s="48">
        <f>IF(C200=1,I200*Habitat!$I$37,0)+IF(C200=2,I200*Habitat!$J$37,0)+IF(C200=3,I200*Habitat!$K$37,0)+IF(C200=4,I200*Habitat!$L$37,0)+IF(C200=5,I200*Habitat!$M$37,0)</f>
        <v>0</v>
      </c>
      <c r="N200" s="48">
        <f>IF(C200=1,I200*Habitat!$I$38,0)+IF(C200=2,I200*Habitat!$J$38,0)+IF(C200=3,I200*Habitat!$K$38,0)+IF(C200=4,I200*Habitat!$L$38,0)+IF(C200=5,I200*Habitat!$M$38,0)</f>
        <v>0</v>
      </c>
      <c r="O200">
        <f>IF(C200=1,I200*Habitat!$I$39,0)+IF(C200=2,I200*Habitat!$J$39,0)+IF(C200=3,I200*Habitat!$K$39,0)+IF(C200=4,I200*Habitat!$L$39,0)+IF(C200=5,I200*Habitat!$M$39,0)</f>
        <v>0</v>
      </c>
    </row>
    <row r="201" spans="1:15">
      <c r="A201">
        <f t="shared" si="30"/>
        <v>190</v>
      </c>
      <c r="C201" s="5">
        <v>3</v>
      </c>
      <c r="D201" s="56">
        <f>D200+Habitat!$C$25</f>
        <v>1750</v>
      </c>
      <c r="E201" s="48">
        <f t="shared" si="31"/>
        <v>975</v>
      </c>
      <c r="F201" s="3">
        <f>Habitat!$D$22*D201</f>
        <v>21.572327044025158</v>
      </c>
      <c r="G201" s="3">
        <f t="shared" si="26"/>
        <v>0</v>
      </c>
      <c r="H201" s="3">
        <f>IF(D201&lt;$C$7,0,IF(D201&gt;$C$6,0,1))</f>
        <v>0</v>
      </c>
      <c r="I201" s="47">
        <f t="shared" si="32"/>
        <v>0</v>
      </c>
      <c r="J201" s="48">
        <f>IF(C201=1,I201*Habitat!$I$36,0)+IF(C201=2,I201*Habitat!$J$36,0)+IF(C201=3,I201*Habitat!$K$36,0)+IF(C201=4,I201*Habitat!$L$36,0)+IF(C201=5,I201*Habitat!$M$36,0)</f>
        <v>0</v>
      </c>
      <c r="K201" s="48">
        <f>IF(C201=1,I201*Habitat!$I$35,0)+IF(C201=2,I201*Habitat!$J$35,0)+IF(C201=3,I201*Habitat!$K$35,0)+IF(C201=4,I201*Habitat!$L$35,0)+IF(C201=5,I201*Habitat!$M$35,0)</f>
        <v>0</v>
      </c>
      <c r="L201" s="48">
        <f>IF(C201=1,I201*Habitat!$I$34,0)+IF(C201=2,I201*Habitat!$J$34,0)+IF(C201=3,I201*Habitat!$K$34,0)+IF(C201=4,I201*Habitat!$L$34,0)+IF(C201=5,I201*Habitat!$M$34,0)</f>
        <v>0</v>
      </c>
      <c r="M201" s="48">
        <f>IF(C201=1,I201*Habitat!$I$37,0)+IF(C201=2,I201*Habitat!$J$37,0)+IF(C201=3,I201*Habitat!$K$37,0)+IF(C201=4,I201*Habitat!$L$37,0)+IF(C201=5,I201*Habitat!$M$37,0)</f>
        <v>0</v>
      </c>
      <c r="N201" s="48">
        <f>IF(C201=1,I201*Habitat!$I$38,0)+IF(C201=2,I201*Habitat!$J$38,0)+IF(C201=3,I201*Habitat!$K$38,0)+IF(C201=4,I201*Habitat!$L$38,0)+IF(C201=5,I201*Habitat!$M$38,0)</f>
        <v>0</v>
      </c>
      <c r="O201">
        <f>IF(C201=1,I201*Habitat!$I$39,0)+IF(C201=2,I201*Habitat!$J$39,0)+IF(C201=3,I201*Habitat!$K$39,0)+IF(C201=4,I201*Habitat!$L$39,0)+IF(C201=5,I201*Habitat!$M$39,0)</f>
        <v>0</v>
      </c>
    </row>
    <row r="202" spans="1:15">
      <c r="A202">
        <f t="shared" si="30"/>
        <v>191</v>
      </c>
      <c r="C202" s="5">
        <v>3</v>
      </c>
      <c r="D202" s="56">
        <f>D201+Habitat!$C$25</f>
        <v>1755</v>
      </c>
      <c r="E202" s="48">
        <f t="shared" si="31"/>
        <v>980</v>
      </c>
      <c r="F202" s="3">
        <f>Habitat!$D$22*D202</f>
        <v>21.633962264150945</v>
      </c>
      <c r="G202" s="3">
        <f t="shared" si="26"/>
        <v>0</v>
      </c>
      <c r="H202" s="3">
        <f>IF(D202&lt;$C$7,0,IF(D202&gt;$C$6,0,1))</f>
        <v>0</v>
      </c>
      <c r="I202" s="47">
        <f t="shared" si="32"/>
        <v>0</v>
      </c>
      <c r="J202" s="48">
        <f>IF(C202=1,I202*Habitat!$I$36,0)+IF(C202=2,I202*Habitat!$J$36,0)+IF(C202=3,I202*Habitat!$K$36,0)+IF(C202=4,I202*Habitat!$L$36,0)+IF(C202=5,I202*Habitat!$M$36,0)</f>
        <v>0</v>
      </c>
      <c r="K202" s="48">
        <f>IF(C202=1,I202*Habitat!$I$35,0)+IF(C202=2,I202*Habitat!$J$35,0)+IF(C202=3,I202*Habitat!$K$35,0)+IF(C202=4,I202*Habitat!$L$35,0)+IF(C202=5,I202*Habitat!$M$35,0)</f>
        <v>0</v>
      </c>
      <c r="L202" s="48">
        <f>IF(C202=1,I202*Habitat!$I$34,0)+IF(C202=2,I202*Habitat!$J$34,0)+IF(C202=3,I202*Habitat!$K$34,0)+IF(C202=4,I202*Habitat!$L$34,0)+IF(C202=5,I202*Habitat!$M$34,0)</f>
        <v>0</v>
      </c>
      <c r="M202" s="48">
        <f>IF(C202=1,I202*Habitat!$I$37,0)+IF(C202=2,I202*Habitat!$J$37,0)+IF(C202=3,I202*Habitat!$K$37,0)+IF(C202=4,I202*Habitat!$L$37,0)+IF(C202=5,I202*Habitat!$M$37,0)</f>
        <v>0</v>
      </c>
      <c r="N202" s="48">
        <f>IF(C202=1,I202*Habitat!$I$38,0)+IF(C202=2,I202*Habitat!$J$38,0)+IF(C202=3,I202*Habitat!$K$38,0)+IF(C202=4,I202*Habitat!$L$38,0)+IF(C202=5,I202*Habitat!$M$38,0)</f>
        <v>0</v>
      </c>
      <c r="O202">
        <f>IF(C202=1,I202*Habitat!$I$39,0)+IF(C202=2,I202*Habitat!$J$39,0)+IF(C202=3,I202*Habitat!$K$39,0)+IF(C202=4,I202*Habitat!$L$39,0)+IF(C202=5,I202*Habitat!$M$39,0)</f>
        <v>0</v>
      </c>
    </row>
    <row r="203" spans="1:15">
      <c r="A203">
        <f t="shared" si="30"/>
        <v>192</v>
      </c>
      <c r="C203" s="5">
        <v>3</v>
      </c>
      <c r="D203" s="56">
        <f>D202+Habitat!$C$25</f>
        <v>1760</v>
      </c>
      <c r="E203" s="48">
        <f t="shared" si="31"/>
        <v>985</v>
      </c>
      <c r="F203" s="3">
        <f>Habitat!$D$22*D203</f>
        <v>21.695597484276728</v>
      </c>
      <c r="G203" s="3">
        <f t="shared" si="26"/>
        <v>0</v>
      </c>
      <c r="H203" s="3">
        <f>IF(D203&lt;$C$7,0,IF(D203&gt;$C$6,0,1))</f>
        <v>0</v>
      </c>
      <c r="I203" s="47">
        <f t="shared" si="32"/>
        <v>0</v>
      </c>
      <c r="J203" s="48">
        <f>IF(C203=1,I203*Habitat!$I$36,0)+IF(C203=2,I203*Habitat!$J$36,0)+IF(C203=3,I203*Habitat!$K$36,0)+IF(C203=4,I203*Habitat!$L$36,0)+IF(C203=5,I203*Habitat!$M$36,0)</f>
        <v>0</v>
      </c>
      <c r="K203" s="48">
        <f>IF(C203=1,I203*Habitat!$I$35,0)+IF(C203=2,I203*Habitat!$J$35,0)+IF(C203=3,I203*Habitat!$K$35,0)+IF(C203=4,I203*Habitat!$L$35,0)+IF(C203=5,I203*Habitat!$M$35,0)</f>
        <v>0</v>
      </c>
      <c r="L203" s="48">
        <f>IF(C203=1,I203*Habitat!$I$34,0)+IF(C203=2,I203*Habitat!$J$34,0)+IF(C203=3,I203*Habitat!$K$34,0)+IF(C203=4,I203*Habitat!$L$34,0)+IF(C203=5,I203*Habitat!$M$34,0)</f>
        <v>0</v>
      </c>
      <c r="M203" s="48">
        <f>IF(C203=1,I203*Habitat!$I$37,0)+IF(C203=2,I203*Habitat!$J$37,0)+IF(C203=3,I203*Habitat!$K$37,0)+IF(C203=4,I203*Habitat!$L$37,0)+IF(C203=5,I203*Habitat!$M$37,0)</f>
        <v>0</v>
      </c>
      <c r="N203" s="48">
        <f>IF(C203=1,I203*Habitat!$I$38,0)+IF(C203=2,I203*Habitat!$J$38,0)+IF(C203=3,I203*Habitat!$K$38,0)+IF(C203=4,I203*Habitat!$L$38,0)+IF(C203=5,I203*Habitat!$M$38,0)</f>
        <v>0</v>
      </c>
      <c r="O203">
        <f>IF(C203=1,I203*Habitat!$I$39,0)+IF(C203=2,I203*Habitat!$J$39,0)+IF(C203=3,I203*Habitat!$K$39,0)+IF(C203=4,I203*Habitat!$L$39,0)+IF(C203=5,I203*Habitat!$M$39,0)</f>
        <v>0</v>
      </c>
    </row>
    <row r="204" spans="1:15">
      <c r="A204">
        <f t="shared" si="30"/>
        <v>193</v>
      </c>
      <c r="C204" s="5">
        <v>3</v>
      </c>
      <c r="D204" s="56">
        <f>D203+Habitat!$C$25</f>
        <v>1765</v>
      </c>
      <c r="E204" s="48">
        <f t="shared" si="31"/>
        <v>990</v>
      </c>
      <c r="F204" s="3">
        <f>Habitat!$D$22*D204</f>
        <v>21.757232704402515</v>
      </c>
      <c r="G204" s="3">
        <f t="shared" ref="G204:G213" si="33">IF(H204,F204/9.8,0)</f>
        <v>0</v>
      </c>
      <c r="H204" s="3">
        <f>IF(D204&lt;$C$7,0,IF(D204&gt;$C$6,0,1))</f>
        <v>0</v>
      </c>
      <c r="I204" s="47">
        <f t="shared" si="32"/>
        <v>0</v>
      </c>
      <c r="J204" s="48">
        <f>IF(C204=1,I204*Habitat!$I$36,0)+IF(C204=2,I204*Habitat!$J$36,0)+IF(C204=3,I204*Habitat!$K$36,0)+IF(C204=4,I204*Habitat!$L$36,0)+IF(C204=5,I204*Habitat!$M$36,0)</f>
        <v>0</v>
      </c>
      <c r="K204" s="48">
        <f>IF(C204=1,I204*Habitat!$I$35,0)+IF(C204=2,I204*Habitat!$J$35,0)+IF(C204=3,I204*Habitat!$K$35,0)+IF(C204=4,I204*Habitat!$L$35,0)+IF(C204=5,I204*Habitat!$M$35,0)</f>
        <v>0</v>
      </c>
      <c r="L204" s="48">
        <f>IF(C204=1,I204*Habitat!$I$34,0)+IF(C204=2,I204*Habitat!$J$34,0)+IF(C204=3,I204*Habitat!$K$34,0)+IF(C204=4,I204*Habitat!$L$34,0)+IF(C204=5,I204*Habitat!$M$34,0)</f>
        <v>0</v>
      </c>
      <c r="M204" s="48">
        <f>IF(C204=1,I204*Habitat!$I$37,0)+IF(C204=2,I204*Habitat!$J$37,0)+IF(C204=3,I204*Habitat!$K$37,0)+IF(C204=4,I204*Habitat!$L$37,0)+IF(C204=5,I204*Habitat!$M$37,0)</f>
        <v>0</v>
      </c>
      <c r="N204" s="48">
        <f>IF(C204=1,I204*Habitat!$I$38,0)+IF(C204=2,I204*Habitat!$J$38,0)+IF(C204=3,I204*Habitat!$K$38,0)+IF(C204=4,I204*Habitat!$L$38,0)+IF(C204=5,I204*Habitat!$M$38,0)</f>
        <v>0</v>
      </c>
      <c r="O204">
        <f>IF(C204=1,I204*Habitat!$I$39,0)+IF(C204=2,I204*Habitat!$J$39,0)+IF(C204=3,I204*Habitat!$K$39,0)+IF(C204=4,I204*Habitat!$L$39,0)+IF(C204=5,I204*Habitat!$M$39,0)</f>
        <v>0</v>
      </c>
    </row>
    <row r="205" spans="1:15">
      <c r="A205">
        <f t="shared" si="30"/>
        <v>194</v>
      </c>
      <c r="C205" s="5">
        <v>3</v>
      </c>
      <c r="D205" s="56">
        <f>D204+Habitat!$C$25</f>
        <v>1770</v>
      </c>
      <c r="E205" s="48">
        <f t="shared" si="31"/>
        <v>995</v>
      </c>
      <c r="F205" s="3">
        <f>Habitat!$D$22*D205</f>
        <v>21.818867924528302</v>
      </c>
      <c r="G205" s="3">
        <f t="shared" si="33"/>
        <v>0</v>
      </c>
      <c r="H205" s="3">
        <f>IF(D205&lt;$C$7,0,IF(D205&gt;$C$6,0,1))</f>
        <v>0</v>
      </c>
      <c r="I205" s="47">
        <f t="shared" si="32"/>
        <v>0</v>
      </c>
      <c r="J205" s="48">
        <f>IF(C205=1,I205*Habitat!$I$36,0)+IF(C205=2,I205*Habitat!$J$36,0)+IF(C205=3,I205*Habitat!$K$36,0)+IF(C205=4,I205*Habitat!$L$36,0)+IF(C205=5,I205*Habitat!$M$36,0)</f>
        <v>0</v>
      </c>
      <c r="K205" s="48">
        <f>IF(C205=1,I205*Habitat!$I$35,0)+IF(C205=2,I205*Habitat!$J$35,0)+IF(C205=3,I205*Habitat!$K$35,0)+IF(C205=4,I205*Habitat!$L$35,0)+IF(C205=5,I205*Habitat!$M$35,0)</f>
        <v>0</v>
      </c>
      <c r="L205" s="48">
        <f>IF(C205=1,I205*Habitat!$I$34,0)+IF(C205=2,I205*Habitat!$J$34,0)+IF(C205=3,I205*Habitat!$K$34,0)+IF(C205=4,I205*Habitat!$L$34,0)+IF(C205=5,I205*Habitat!$M$34,0)</f>
        <v>0</v>
      </c>
      <c r="M205" s="48">
        <f>IF(C205=1,I205*Habitat!$I$37,0)+IF(C205=2,I205*Habitat!$J$37,0)+IF(C205=3,I205*Habitat!$K$37,0)+IF(C205=4,I205*Habitat!$L$37,0)+IF(C205=5,I205*Habitat!$M$37,0)</f>
        <v>0</v>
      </c>
      <c r="N205" s="48">
        <f>IF(C205=1,I205*Habitat!$I$38,0)+IF(C205=2,I205*Habitat!$J$38,0)+IF(C205=3,I205*Habitat!$K$38,0)+IF(C205=4,I205*Habitat!$L$38,0)+IF(C205=5,I205*Habitat!$M$38,0)</f>
        <v>0</v>
      </c>
      <c r="O205">
        <f>IF(C205=1,I205*Habitat!$I$39,0)+IF(C205=2,I205*Habitat!$J$39,0)+IF(C205=3,I205*Habitat!$K$39,0)+IF(C205=4,I205*Habitat!$L$39,0)+IF(C205=5,I205*Habitat!$M$39,0)</f>
        <v>0</v>
      </c>
    </row>
    <row r="206" spans="1:15">
      <c r="A206">
        <f t="shared" si="30"/>
        <v>195</v>
      </c>
      <c r="C206" s="5">
        <v>3</v>
      </c>
      <c r="D206" s="56">
        <f>D205+Habitat!$C$25</f>
        <v>1775</v>
      </c>
      <c r="E206" s="48">
        <f t="shared" si="31"/>
        <v>1000</v>
      </c>
      <c r="F206" s="3">
        <f>Habitat!$D$22*D206</f>
        <v>21.880503144654089</v>
      </c>
      <c r="G206" s="3">
        <f t="shared" si="33"/>
        <v>0</v>
      </c>
      <c r="H206" s="3">
        <f>IF(D206&lt;$C$7,0,IF(D206&gt;$C$6,0,1))</f>
        <v>0</v>
      </c>
      <c r="I206" s="47">
        <f t="shared" si="32"/>
        <v>0</v>
      </c>
      <c r="J206" s="48">
        <f>IF(C206=1,I206*Habitat!$I$36,0)+IF(C206=2,I206*Habitat!$J$36,0)+IF(C206=3,I206*Habitat!$K$36,0)+IF(C206=4,I206*Habitat!$L$36,0)+IF(C206=5,I206*Habitat!$M$36,0)</f>
        <v>0</v>
      </c>
      <c r="K206" s="48">
        <f>IF(C206=1,I206*Habitat!$I$35,0)+IF(C206=2,I206*Habitat!$J$35,0)+IF(C206=3,I206*Habitat!$K$35,0)+IF(C206=4,I206*Habitat!$L$35,0)+IF(C206=5,I206*Habitat!$M$35,0)</f>
        <v>0</v>
      </c>
      <c r="L206" s="48">
        <f>IF(C206=1,I206*Habitat!$I$34,0)+IF(C206=2,I206*Habitat!$J$34,0)+IF(C206=3,I206*Habitat!$K$34,0)+IF(C206=4,I206*Habitat!$L$34,0)+IF(C206=5,I206*Habitat!$M$34,0)</f>
        <v>0</v>
      </c>
      <c r="M206" s="48">
        <f>IF(C206=1,I206*Habitat!$I$37,0)+IF(C206=2,I206*Habitat!$J$37,0)+IF(C206=3,I206*Habitat!$K$37,0)+IF(C206=4,I206*Habitat!$L$37,0)+IF(C206=5,I206*Habitat!$M$37,0)</f>
        <v>0</v>
      </c>
      <c r="N206" s="48">
        <f>IF(C206=1,I206*Habitat!$I$38,0)+IF(C206=2,I206*Habitat!$J$38,0)+IF(C206=3,I206*Habitat!$K$38,0)+IF(C206=4,I206*Habitat!$L$38,0)+IF(C206=5,I206*Habitat!$M$38,0)</f>
        <v>0</v>
      </c>
      <c r="O206">
        <f>IF(C206=1,I206*Habitat!$I$39,0)+IF(C206=2,I206*Habitat!$J$39,0)+IF(C206=3,I206*Habitat!$K$39,0)+IF(C206=4,I206*Habitat!$L$39,0)+IF(C206=5,I206*Habitat!$M$39,0)</f>
        <v>0</v>
      </c>
    </row>
    <row r="207" spans="1:15">
      <c r="A207">
        <f t="shared" si="30"/>
        <v>196</v>
      </c>
      <c r="C207" s="5">
        <v>3</v>
      </c>
      <c r="D207" s="56">
        <f>D206+Habitat!$C$25</f>
        <v>1780</v>
      </c>
      <c r="E207" s="48">
        <f t="shared" si="31"/>
        <v>1005</v>
      </c>
      <c r="F207" s="3">
        <f>Habitat!$D$22*D207</f>
        <v>21.942138364779876</v>
      </c>
      <c r="G207" s="3">
        <f t="shared" si="33"/>
        <v>0</v>
      </c>
      <c r="H207" s="3">
        <f>IF(D207&lt;$C$7,0,IF(D207&gt;$C$6,0,1))</f>
        <v>0</v>
      </c>
      <c r="I207" s="47">
        <f t="shared" si="32"/>
        <v>0</v>
      </c>
      <c r="J207" s="48">
        <f>IF(C207=1,I207*Habitat!$I$36,0)+IF(C207=2,I207*Habitat!$J$36,0)+IF(C207=3,I207*Habitat!$K$36,0)+IF(C207=4,I207*Habitat!$L$36,0)+IF(C207=5,I207*Habitat!$M$36,0)</f>
        <v>0</v>
      </c>
      <c r="K207" s="48">
        <f>IF(C207=1,I207*Habitat!$I$35,0)+IF(C207=2,I207*Habitat!$J$35,0)+IF(C207=3,I207*Habitat!$K$35,0)+IF(C207=4,I207*Habitat!$L$35,0)+IF(C207=5,I207*Habitat!$M$35,0)</f>
        <v>0</v>
      </c>
      <c r="L207" s="48">
        <f>IF(C207=1,I207*Habitat!$I$34,0)+IF(C207=2,I207*Habitat!$J$34,0)+IF(C207=3,I207*Habitat!$K$34,0)+IF(C207=4,I207*Habitat!$L$34,0)+IF(C207=5,I207*Habitat!$M$34,0)</f>
        <v>0</v>
      </c>
      <c r="M207" s="48">
        <f>IF(C207=1,I207*Habitat!$I$37,0)+IF(C207=2,I207*Habitat!$J$37,0)+IF(C207=3,I207*Habitat!$K$37,0)+IF(C207=4,I207*Habitat!$L$37,0)+IF(C207=5,I207*Habitat!$M$37,0)</f>
        <v>0</v>
      </c>
      <c r="N207" s="48">
        <f>IF(C207=1,I207*Habitat!$I$38,0)+IF(C207=2,I207*Habitat!$J$38,0)+IF(C207=3,I207*Habitat!$K$38,0)+IF(C207=4,I207*Habitat!$L$38,0)+IF(C207=5,I207*Habitat!$M$38,0)</f>
        <v>0</v>
      </c>
      <c r="O207">
        <f>IF(C207=1,I207*Habitat!$I$39,0)+IF(C207=2,I207*Habitat!$J$39,0)+IF(C207=3,I207*Habitat!$K$39,0)+IF(C207=4,I207*Habitat!$L$39,0)+IF(C207=5,I207*Habitat!$M$39,0)</f>
        <v>0</v>
      </c>
    </row>
    <row r="208" spans="1:15">
      <c r="A208">
        <f t="shared" si="30"/>
        <v>197</v>
      </c>
      <c r="C208" s="5">
        <v>3</v>
      </c>
      <c r="D208" s="56">
        <f>D207+Habitat!$C$25</f>
        <v>1785</v>
      </c>
      <c r="E208" s="48">
        <f t="shared" si="31"/>
        <v>1010</v>
      </c>
      <c r="F208" s="3">
        <f>Habitat!$D$22*D208</f>
        <v>22.003773584905659</v>
      </c>
      <c r="G208" s="3">
        <f t="shared" si="33"/>
        <v>0</v>
      </c>
      <c r="H208" s="3">
        <f>IF(D208&lt;$C$7,0,IF(D208&gt;$C$6,0,1))</f>
        <v>0</v>
      </c>
      <c r="I208" s="47">
        <f t="shared" si="32"/>
        <v>0</v>
      </c>
      <c r="J208" s="48">
        <f>IF(C208=1,I208*Habitat!$I$36,0)+IF(C208=2,I208*Habitat!$J$36,0)+IF(C208=3,I208*Habitat!$K$36,0)+IF(C208=4,I208*Habitat!$L$36,0)+IF(C208=5,I208*Habitat!$M$36,0)</f>
        <v>0</v>
      </c>
      <c r="K208" s="48">
        <f>IF(C208=1,I208*Habitat!$I$35,0)+IF(C208=2,I208*Habitat!$J$35,0)+IF(C208=3,I208*Habitat!$K$35,0)+IF(C208=4,I208*Habitat!$L$35,0)+IF(C208=5,I208*Habitat!$M$35,0)</f>
        <v>0</v>
      </c>
      <c r="L208" s="48">
        <f>IF(C208=1,I208*Habitat!$I$34,0)+IF(C208=2,I208*Habitat!$J$34,0)+IF(C208=3,I208*Habitat!$K$34,0)+IF(C208=4,I208*Habitat!$L$34,0)+IF(C208=5,I208*Habitat!$M$34,0)</f>
        <v>0</v>
      </c>
      <c r="M208" s="48">
        <f>IF(C208=1,I208*Habitat!$I$37,0)+IF(C208=2,I208*Habitat!$J$37,0)+IF(C208=3,I208*Habitat!$K$37,0)+IF(C208=4,I208*Habitat!$L$37,0)+IF(C208=5,I208*Habitat!$M$37,0)</f>
        <v>0</v>
      </c>
      <c r="N208" s="48">
        <f>IF(C208=1,I208*Habitat!$I$38,0)+IF(C208=2,I208*Habitat!$J$38,0)+IF(C208=3,I208*Habitat!$K$38,0)+IF(C208=4,I208*Habitat!$L$38,0)+IF(C208=5,I208*Habitat!$M$38,0)</f>
        <v>0</v>
      </c>
      <c r="O208">
        <f>IF(C208=1,I208*Habitat!$I$39,0)+IF(C208=2,I208*Habitat!$J$39,0)+IF(C208=3,I208*Habitat!$K$39,0)+IF(C208=4,I208*Habitat!$L$39,0)+IF(C208=5,I208*Habitat!$M$39,0)</f>
        <v>0</v>
      </c>
    </row>
    <row r="209" spans="1:15">
      <c r="A209">
        <f t="shared" si="30"/>
        <v>198</v>
      </c>
      <c r="C209" s="5">
        <v>3</v>
      </c>
      <c r="D209" s="56">
        <f>D208+Habitat!$C$25</f>
        <v>1790</v>
      </c>
      <c r="E209" s="48">
        <f t="shared" si="31"/>
        <v>1015</v>
      </c>
      <c r="F209" s="3">
        <f>Habitat!$D$22*D209</f>
        <v>22.065408805031446</v>
      </c>
      <c r="G209" s="3">
        <f t="shared" si="33"/>
        <v>0</v>
      </c>
      <c r="H209" s="3">
        <f>IF(D209&lt;$C$7,0,IF(D209&gt;$C$6,0,1))</f>
        <v>0</v>
      </c>
      <c r="I209" s="47">
        <f t="shared" si="32"/>
        <v>0</v>
      </c>
      <c r="J209" s="48">
        <f>IF(C209=1,I209*Habitat!$I$36,0)+IF(C209=2,I209*Habitat!$J$36,0)+IF(C209=3,I209*Habitat!$K$36,0)+IF(C209=4,I209*Habitat!$L$36,0)+IF(C209=5,I209*Habitat!$M$36,0)</f>
        <v>0</v>
      </c>
      <c r="K209" s="48">
        <f>IF(C209=1,I209*Habitat!$I$35,0)+IF(C209=2,I209*Habitat!$J$35,0)+IF(C209=3,I209*Habitat!$K$35,0)+IF(C209=4,I209*Habitat!$L$35,0)+IF(C209=5,I209*Habitat!$M$35,0)</f>
        <v>0</v>
      </c>
      <c r="L209" s="48">
        <f>IF(C209=1,I209*Habitat!$I$34,0)+IF(C209=2,I209*Habitat!$J$34,0)+IF(C209=3,I209*Habitat!$K$34,0)+IF(C209=4,I209*Habitat!$L$34,0)+IF(C209=5,I209*Habitat!$M$34,0)</f>
        <v>0</v>
      </c>
      <c r="M209" s="48">
        <f>IF(C209=1,I209*Habitat!$I$37,0)+IF(C209=2,I209*Habitat!$J$37,0)+IF(C209=3,I209*Habitat!$K$37,0)+IF(C209=4,I209*Habitat!$L$37,0)+IF(C209=5,I209*Habitat!$M$37,0)</f>
        <v>0</v>
      </c>
      <c r="N209" s="48">
        <f>IF(C209=1,I209*Habitat!$I$38,0)+IF(C209=2,I209*Habitat!$J$38,0)+IF(C209=3,I209*Habitat!$K$38,0)+IF(C209=4,I209*Habitat!$L$38,0)+IF(C209=5,I209*Habitat!$M$38,0)</f>
        <v>0</v>
      </c>
      <c r="O209">
        <f>IF(C209=1,I209*Habitat!$I$39,0)+IF(C209=2,I209*Habitat!$J$39,0)+IF(C209=3,I209*Habitat!$K$39,0)+IF(C209=4,I209*Habitat!$L$39,0)+IF(C209=5,I209*Habitat!$M$39,0)</f>
        <v>0</v>
      </c>
    </row>
    <row r="210" spans="1:15">
      <c r="A210">
        <f t="shared" si="30"/>
        <v>199</v>
      </c>
      <c r="C210" s="5">
        <v>3</v>
      </c>
      <c r="D210" s="56">
        <f>D209+Habitat!$C$25</f>
        <v>1795</v>
      </c>
      <c r="E210" s="48">
        <f t="shared" si="31"/>
        <v>1020</v>
      </c>
      <c r="F210" s="3">
        <f>Habitat!$D$22*D210</f>
        <v>22.127044025157232</v>
      </c>
      <c r="G210" s="3">
        <f t="shared" si="33"/>
        <v>0</v>
      </c>
      <c r="H210" s="3">
        <f>IF(D210&lt;$C$7,0,IF(D210&gt;$C$6,0,1))</f>
        <v>0</v>
      </c>
      <c r="I210" s="47">
        <f t="shared" si="32"/>
        <v>0</v>
      </c>
      <c r="J210" s="48">
        <f>IF(C210=1,I210*Habitat!$I$36,0)+IF(C210=2,I210*Habitat!$J$36,0)+IF(C210=3,I210*Habitat!$K$36,0)+IF(C210=4,I210*Habitat!$L$36,0)+IF(C210=5,I210*Habitat!$M$36,0)</f>
        <v>0</v>
      </c>
      <c r="K210" s="48">
        <f>IF(C210=1,I210*Habitat!$I$35,0)+IF(C210=2,I210*Habitat!$J$35,0)+IF(C210=3,I210*Habitat!$K$35,0)+IF(C210=4,I210*Habitat!$L$35,0)+IF(C210=5,I210*Habitat!$M$35,0)</f>
        <v>0</v>
      </c>
      <c r="L210" s="48">
        <f>IF(C210=1,I210*Habitat!$I$34,0)+IF(C210=2,I210*Habitat!$J$34,0)+IF(C210=3,I210*Habitat!$K$34,0)+IF(C210=4,I210*Habitat!$L$34,0)+IF(C210=5,I210*Habitat!$M$34,0)</f>
        <v>0</v>
      </c>
      <c r="M210" s="48">
        <f>IF(C210=1,I210*Habitat!$I$37,0)+IF(C210=2,I210*Habitat!$J$37,0)+IF(C210=3,I210*Habitat!$K$37,0)+IF(C210=4,I210*Habitat!$L$37,0)+IF(C210=5,I210*Habitat!$M$37,0)</f>
        <v>0</v>
      </c>
      <c r="N210" s="48">
        <f>IF(C210=1,I210*Habitat!$I$38,0)+IF(C210=2,I210*Habitat!$J$38,0)+IF(C210=3,I210*Habitat!$K$38,0)+IF(C210=4,I210*Habitat!$L$38,0)+IF(C210=5,I210*Habitat!$M$38,0)</f>
        <v>0</v>
      </c>
      <c r="O210">
        <f>IF(C210=1,I210*Habitat!$I$39,0)+IF(C210=2,I210*Habitat!$J$39,0)+IF(C210=3,I210*Habitat!$K$39,0)+IF(C210=4,I210*Habitat!$L$39,0)+IF(C210=5,I210*Habitat!$M$39,0)</f>
        <v>0</v>
      </c>
    </row>
    <row r="211" spans="1:15">
      <c r="A211">
        <f t="shared" si="30"/>
        <v>200</v>
      </c>
      <c r="C211" s="5">
        <v>3</v>
      </c>
      <c r="D211" s="56">
        <f>D210+Habitat!$C$25</f>
        <v>1800</v>
      </c>
      <c r="E211" s="48">
        <f t="shared" si="31"/>
        <v>1025</v>
      </c>
      <c r="F211" s="3">
        <f>Habitat!$D$22*D211</f>
        <v>22.188679245283019</v>
      </c>
      <c r="G211" s="3">
        <f t="shared" si="33"/>
        <v>0</v>
      </c>
      <c r="H211" s="3">
        <f>IF(D211&lt;$C$7,0,IF(D211&gt;$C$6,0,1))</f>
        <v>0</v>
      </c>
      <c r="I211" s="47">
        <f t="shared" si="32"/>
        <v>0</v>
      </c>
      <c r="J211" s="48">
        <f>IF(C211=1,I211*Habitat!$I$36,0)+IF(C211=2,I211*Habitat!$J$36,0)+IF(C211=3,I211*Habitat!$K$36,0)+IF(C211=4,I211*Habitat!$L$36,0)+IF(C211=5,I211*Habitat!$M$36,0)</f>
        <v>0</v>
      </c>
      <c r="K211" s="48">
        <f>IF(C211=1,I211*Habitat!$I$35,0)+IF(C211=2,I211*Habitat!$J$35,0)+IF(C211=3,I211*Habitat!$K$35,0)+IF(C211=4,I211*Habitat!$L$35,0)+IF(C211=5,I211*Habitat!$M$35,0)</f>
        <v>0</v>
      </c>
      <c r="L211" s="48">
        <f>IF(C211=1,I211*Habitat!$I$34,0)+IF(C211=2,I211*Habitat!$J$34,0)+IF(C211=3,I211*Habitat!$K$34,0)+IF(C211=4,I211*Habitat!$L$34,0)+IF(C211=5,I211*Habitat!$M$34,0)</f>
        <v>0</v>
      </c>
      <c r="M211" s="48">
        <f>IF(C211=1,I211*Habitat!$I$37,0)+IF(C211=2,I211*Habitat!$J$37,0)+IF(C211=3,I211*Habitat!$K$37,0)+IF(C211=4,I211*Habitat!$L$37,0)+IF(C211=5,I211*Habitat!$M$37,0)</f>
        <v>0</v>
      </c>
      <c r="N211" s="48">
        <f>IF(C211=1,I211*Habitat!$I$38,0)+IF(C211=2,I211*Habitat!$J$38,0)+IF(C211=3,I211*Habitat!$K$38,0)+IF(C211=4,I211*Habitat!$L$38,0)+IF(C211=5,I211*Habitat!$M$38,0)</f>
        <v>0</v>
      </c>
      <c r="O211">
        <f>IF(C211=1,I211*Habitat!$I$39,0)+IF(C211=2,I211*Habitat!$J$39,0)+IF(C211=3,I211*Habitat!$K$39,0)+IF(C211=4,I211*Habitat!$L$39,0)+IF(C211=5,I211*Habitat!$M$39,0)</f>
        <v>0</v>
      </c>
    </row>
    <row r="212" spans="1:15">
      <c r="A212">
        <f t="shared" si="30"/>
        <v>201</v>
      </c>
      <c r="C212" s="5">
        <v>3</v>
      </c>
      <c r="D212" s="56">
        <f>D211+Habitat!$C$25</f>
        <v>1805</v>
      </c>
      <c r="E212" s="48">
        <f t="shared" si="31"/>
        <v>1030</v>
      </c>
      <c r="F212" s="3">
        <f>Habitat!$D$22*D212</f>
        <v>22.250314465408806</v>
      </c>
      <c r="G212" s="3">
        <f t="shared" si="33"/>
        <v>0</v>
      </c>
      <c r="H212" s="3">
        <f>IF(D212&lt;$C$7,0,IF(D212&gt;$C$6,0,1))</f>
        <v>0</v>
      </c>
      <c r="I212" s="47">
        <f t="shared" si="32"/>
        <v>0</v>
      </c>
    </row>
    <row r="213" spans="1:15">
      <c r="A213">
        <f t="shared" si="30"/>
        <v>202</v>
      </c>
      <c r="C213" s="5">
        <v>3</v>
      </c>
      <c r="D213" s="56">
        <f>D212+Habitat!$C$25</f>
        <v>1810</v>
      </c>
      <c r="E213" s="48">
        <f t="shared" si="31"/>
        <v>1035</v>
      </c>
      <c r="F213" s="3">
        <f>Habitat!$D$22*D213</f>
        <v>22.311949685534593</v>
      </c>
      <c r="G213" s="3">
        <f t="shared" si="33"/>
        <v>0</v>
      </c>
      <c r="H213" s="3">
        <f>IF(D213&lt;$C$7,0,IF(D213&gt;$C$6,0,1))</f>
        <v>0</v>
      </c>
      <c r="I213" s="47">
        <f t="shared" si="32"/>
        <v>0</v>
      </c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E40A2-0352-B744-BB5D-40DBFBFA564D}">
  <dimension ref="A1:H49"/>
  <sheetViews>
    <sheetView workbookViewId="0">
      <selection activeCell="C49" sqref="C49"/>
    </sheetView>
  </sheetViews>
  <sheetFormatPr baseColWidth="10" defaultRowHeight="16"/>
  <cols>
    <col min="1" max="1" width="23.83203125" bestFit="1" customWidth="1"/>
    <col min="2" max="3" width="12.1640625" bestFit="1" customWidth="1"/>
    <col min="4" max="4" width="14.6640625" customWidth="1"/>
    <col min="5" max="5" width="12.1640625" bestFit="1" customWidth="1"/>
  </cols>
  <sheetData>
    <row r="1" spans="1:8">
      <c r="A1" s="75" t="s">
        <v>608</v>
      </c>
      <c r="B1" t="s">
        <v>640</v>
      </c>
      <c r="C1" t="s">
        <v>641</v>
      </c>
      <c r="D1" t="s">
        <v>664</v>
      </c>
    </row>
    <row r="2" spans="1:8" ht="17">
      <c r="A2" s="75" t="s">
        <v>639</v>
      </c>
      <c r="B2">
        <v>365.25</v>
      </c>
      <c r="C2" s="84">
        <v>365.24250000000001</v>
      </c>
      <c r="D2">
        <v>360</v>
      </c>
    </row>
    <row r="3" spans="1:8">
      <c r="A3" t="s">
        <v>7</v>
      </c>
      <c r="B3">
        <f>B2*3600*24</f>
        <v>31557600</v>
      </c>
      <c r="C3" s="42">
        <f>C2*3600*24</f>
        <v>31556952</v>
      </c>
      <c r="D3">
        <f>D2*3600*24</f>
        <v>31104000</v>
      </c>
      <c r="E3" t="s">
        <v>101</v>
      </c>
    </row>
    <row r="4" spans="1:8">
      <c r="A4" t="s">
        <v>137</v>
      </c>
      <c r="B4">
        <f>B3/3600</f>
        <v>8766</v>
      </c>
      <c r="C4" s="42">
        <f>C3/3600</f>
        <v>8765.82</v>
      </c>
      <c r="D4">
        <f>D3/3600</f>
        <v>8640</v>
      </c>
    </row>
    <row r="5" spans="1:8">
      <c r="A5" t="s">
        <v>0</v>
      </c>
      <c r="B5">
        <v>9460700000000000</v>
      </c>
    </row>
    <row r="6" spans="1:8">
      <c r="A6" t="s">
        <v>694</v>
      </c>
      <c r="B6">
        <v>149597870700</v>
      </c>
      <c r="E6">
        <f>B6/B5</f>
        <v>1.5812558341348948E-5</v>
      </c>
    </row>
    <row r="7" spans="1:8">
      <c r="A7" t="s">
        <v>10</v>
      </c>
      <c r="B7" s="2">
        <v>299792458</v>
      </c>
    </row>
    <row r="8" spans="1:8">
      <c r="A8" t="s">
        <v>147</v>
      </c>
      <c r="B8" s="2">
        <v>6.0220000000000003E+23</v>
      </c>
      <c r="E8">
        <v>2130</v>
      </c>
    </row>
    <row r="9" spans="1:8">
      <c r="A9" t="s">
        <v>294</v>
      </c>
      <c r="B9" s="2">
        <f>3*SQRT(3)</f>
        <v>5.196152422706632</v>
      </c>
      <c r="C9">
        <f>1.4422*3</f>
        <v>4.3266</v>
      </c>
    </row>
    <row r="10" spans="1:8">
      <c r="A10" t="s">
        <v>527</v>
      </c>
      <c r="B10">
        <v>1.2250000000000001</v>
      </c>
      <c r="C10" t="s">
        <v>170</v>
      </c>
    </row>
    <row r="11" spans="1:8">
      <c r="A11" t="s">
        <v>270</v>
      </c>
      <c r="B11">
        <v>1700</v>
      </c>
      <c r="C11" t="s">
        <v>170</v>
      </c>
    </row>
    <row r="12" spans="1:8">
      <c r="A12" t="s">
        <v>8</v>
      </c>
      <c r="B12">
        <v>9.8000000000000007</v>
      </c>
      <c r="C12" t="s">
        <v>3</v>
      </c>
    </row>
    <row r="14" spans="1:8">
      <c r="A14" s="75" t="s">
        <v>181</v>
      </c>
    </row>
    <row r="15" spans="1:8">
      <c r="A15" t="s">
        <v>43</v>
      </c>
      <c r="C15" t="s">
        <v>45</v>
      </c>
      <c r="D15" t="s">
        <v>111</v>
      </c>
      <c r="E15" t="s">
        <v>13</v>
      </c>
      <c r="F15" t="s">
        <v>605</v>
      </c>
      <c r="G15" t="s">
        <v>606</v>
      </c>
      <c r="H15" t="s">
        <v>607</v>
      </c>
    </row>
    <row r="16" spans="1:8">
      <c r="A16" t="s">
        <v>605</v>
      </c>
      <c r="C16">
        <v>4.0468600000000002E-3</v>
      </c>
      <c r="D16" s="37">
        <f>1/F18</f>
        <v>0.40468564300507887</v>
      </c>
      <c r="E16">
        <v>4046.8564200000001</v>
      </c>
      <c r="F16">
        <v>1</v>
      </c>
      <c r="G16">
        <v>1.5625000000000001E-3</v>
      </c>
    </row>
    <row r="17" spans="1:7" ht="17">
      <c r="A17" t="s">
        <v>45</v>
      </c>
      <c r="C17">
        <v>1</v>
      </c>
      <c r="D17">
        <v>100</v>
      </c>
      <c r="E17">
        <f>E18*D17</f>
        <v>1000000</v>
      </c>
      <c r="F17">
        <v>247.10538099999999</v>
      </c>
      <c r="G17" s="71">
        <v>0.38610216000000003</v>
      </c>
    </row>
    <row r="18" spans="1:7" ht="17">
      <c r="A18" t="s">
        <v>111</v>
      </c>
      <c r="C18">
        <f>1/D17</f>
        <v>0.01</v>
      </c>
      <c r="D18">
        <v>1</v>
      </c>
      <c r="E18" s="53">
        <v>10000</v>
      </c>
      <c r="F18" s="72">
        <v>2.4710538099999999</v>
      </c>
      <c r="G18">
        <v>3.8610200000000002E-3</v>
      </c>
    </row>
    <row r="19" spans="1:7" ht="17">
      <c r="A19" t="s">
        <v>13</v>
      </c>
      <c r="C19">
        <v>9.9999999999999995E-7</v>
      </c>
      <c r="D19">
        <f>1/E18</f>
        <v>1E-4</v>
      </c>
      <c r="E19" s="53">
        <v>1</v>
      </c>
      <c r="F19" s="74">
        <v>2.4710999999999998E-4</v>
      </c>
      <c r="G19" s="2">
        <v>3.861E-7</v>
      </c>
    </row>
    <row r="22" spans="1:7">
      <c r="A22" s="75" t="s">
        <v>446</v>
      </c>
    </row>
    <row r="23" spans="1:7" ht="17">
      <c r="A23" t="s">
        <v>376</v>
      </c>
      <c r="D23" s="73">
        <v>2241.7023100000001</v>
      </c>
    </row>
    <row r="24" spans="1:7" ht="20">
      <c r="A24" t="s">
        <v>14</v>
      </c>
      <c r="B24" s="11">
        <f>13790*3</f>
        <v>41370</v>
      </c>
      <c r="C24" t="s">
        <v>16</v>
      </c>
    </row>
    <row r="25" spans="1:7">
      <c r="A25" t="s">
        <v>15</v>
      </c>
      <c r="B25">
        <f>27.4</f>
        <v>27.4</v>
      </c>
    </row>
    <row r="26" spans="1:7">
      <c r="A26" t="s">
        <v>202</v>
      </c>
      <c r="B26" t="s">
        <v>207</v>
      </c>
    </row>
    <row r="27" spans="1:7">
      <c r="A27" t="s">
        <v>203</v>
      </c>
      <c r="B27">
        <v>640</v>
      </c>
      <c r="C27" t="s">
        <v>204</v>
      </c>
    </row>
    <row r="28" spans="1:7">
      <c r="A28" t="s">
        <v>205</v>
      </c>
      <c r="B28">
        <v>240</v>
      </c>
      <c r="C28" t="s">
        <v>204</v>
      </c>
    </row>
    <row r="29" spans="1:7">
      <c r="A29" t="s">
        <v>167</v>
      </c>
      <c r="B29">
        <v>8.4499999999999993</v>
      </c>
      <c r="C29" t="s">
        <v>206</v>
      </c>
      <c r="E29" t="s">
        <v>35</v>
      </c>
    </row>
    <row r="30" spans="1:7">
      <c r="A30" t="s">
        <v>19</v>
      </c>
      <c r="B30" s="2">
        <v>6668000000000000</v>
      </c>
      <c r="C30" t="s">
        <v>33</v>
      </c>
      <c r="D30" s="3">
        <f>B30/(Structure!B23+Structure!B18)</f>
        <v>627463.65047608793</v>
      </c>
    </row>
    <row r="31" spans="1:7">
      <c r="A31" t="s">
        <v>34</v>
      </c>
      <c r="B31" s="2">
        <v>9.1E+20</v>
      </c>
      <c r="C31" s="13"/>
      <c r="D31" s="3" t="e">
        <f>B31/(Structure!#REF!+Vehicle!#REF!)</f>
        <v>#REF!</v>
      </c>
    </row>
    <row r="32" spans="1:7">
      <c r="A32" t="s">
        <v>145</v>
      </c>
      <c r="B32" s="2">
        <f>1046000*1016.4</f>
        <v>1063154400</v>
      </c>
      <c r="C32" t="s">
        <v>33</v>
      </c>
      <c r="D32" t="s">
        <v>146</v>
      </c>
    </row>
    <row r="33" spans="1:7">
      <c r="A33" t="s">
        <v>635</v>
      </c>
      <c r="B33">
        <v>0.74569987000000004</v>
      </c>
    </row>
    <row r="34" spans="1:7">
      <c r="A34" t="s">
        <v>636</v>
      </c>
      <c r="B34">
        <f>1/B33</f>
        <v>1.3410220924404881</v>
      </c>
    </row>
    <row r="35" spans="1:7">
      <c r="A35" t="s">
        <v>637</v>
      </c>
      <c r="B35" s="2">
        <v>312</v>
      </c>
      <c r="C35" t="s">
        <v>180</v>
      </c>
      <c r="D35" t="s">
        <v>179</v>
      </c>
    </row>
    <row r="37" spans="1:7">
      <c r="A37" t="s">
        <v>135</v>
      </c>
      <c r="B37" s="42">
        <f>1000/B3</f>
        <v>3.1688087814028949E-5</v>
      </c>
      <c r="C37" s="42">
        <f>1/B37</f>
        <v>31557.600000000002</v>
      </c>
    </row>
    <row r="38" spans="1:7">
      <c r="A38" t="s">
        <v>660</v>
      </c>
      <c r="B38" s="42">
        <f>1000/(3600*24)</f>
        <v>1.1574074074074073E-2</v>
      </c>
      <c r="C38">
        <f>1/B38</f>
        <v>86.4</v>
      </c>
    </row>
    <row r="40" spans="1:7">
      <c r="A40" t="s">
        <v>175</v>
      </c>
      <c r="B40" s="42">
        <f>41868/1000</f>
        <v>41.868000000000002</v>
      </c>
      <c r="D40" t="s">
        <v>176</v>
      </c>
    </row>
    <row r="41" spans="1:7">
      <c r="A41" t="s">
        <v>529</v>
      </c>
      <c r="B41">
        <v>333</v>
      </c>
      <c r="C41" t="s">
        <v>2</v>
      </c>
    </row>
    <row r="42" spans="1:7">
      <c r="A42" t="s">
        <v>531</v>
      </c>
      <c r="B42">
        <v>109.72799999999999</v>
      </c>
      <c r="C42" t="s">
        <v>2</v>
      </c>
    </row>
    <row r="44" spans="1:7">
      <c r="A44" t="s">
        <v>642</v>
      </c>
      <c r="B44" s="3">
        <v>3.24</v>
      </c>
      <c r="C44" t="s">
        <v>530</v>
      </c>
      <c r="D44">
        <f>Vehicle!C6</f>
        <v>1590</v>
      </c>
      <c r="E44" t="s">
        <v>2</v>
      </c>
      <c r="F44">
        <f>B44/D44*Conversion!B41</f>
        <v>0.67856603773584911</v>
      </c>
      <c r="G44" t="s">
        <v>530</v>
      </c>
    </row>
    <row r="45" spans="1:7">
      <c r="A45" t="s">
        <v>643</v>
      </c>
      <c r="B45">
        <v>7.2</v>
      </c>
      <c r="C45" t="s">
        <v>530</v>
      </c>
      <c r="D45">
        <f>Structure!B7*2</f>
        <v>1590</v>
      </c>
      <c r="E45" t="s">
        <v>2</v>
      </c>
      <c r="F45">
        <f>B45/D45*Conversion!B42</f>
        <v>0.49688150943396225</v>
      </c>
      <c r="G45" t="s">
        <v>530</v>
      </c>
    </row>
    <row r="47" spans="1:7">
      <c r="A47" t="s">
        <v>824</v>
      </c>
      <c r="B47" s="2">
        <v>2970000</v>
      </c>
      <c r="C47" t="s">
        <v>33</v>
      </c>
    </row>
    <row r="48" spans="1:7">
      <c r="B48">
        <f>27000*1000/3600</f>
        <v>7500</v>
      </c>
    </row>
    <row r="49" spans="2:3">
      <c r="B49" s="2">
        <v>140000</v>
      </c>
      <c r="C49" s="3">
        <f>B49/B47</f>
        <v>4.7138047138047139E-2</v>
      </c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D0D86-477E-CD4E-8E1C-4C6B21809367}">
  <dimension ref="A1:H8"/>
  <sheetViews>
    <sheetView workbookViewId="0"/>
  </sheetViews>
  <sheetFormatPr baseColWidth="10" defaultRowHeight="16"/>
  <cols>
    <col min="1" max="1" width="17.33203125" bestFit="1" customWidth="1"/>
    <col min="7" max="7" width="55.6640625" bestFit="1" customWidth="1"/>
    <col min="8" max="8" width="46.6640625" bestFit="1" customWidth="1"/>
  </cols>
  <sheetData>
    <row r="1" spans="1:8">
      <c r="A1" t="s">
        <v>274</v>
      </c>
    </row>
    <row r="2" spans="1:8">
      <c r="B2" t="s">
        <v>276</v>
      </c>
      <c r="C2" t="s">
        <v>277</v>
      </c>
      <c r="D2" t="s">
        <v>269</v>
      </c>
      <c r="E2" t="s">
        <v>278</v>
      </c>
    </row>
    <row r="3" spans="1:8">
      <c r="A3" t="s">
        <v>275</v>
      </c>
      <c r="B3">
        <v>1240000</v>
      </c>
      <c r="C3" s="55">
        <v>930000000</v>
      </c>
      <c r="D3">
        <v>110</v>
      </c>
      <c r="E3">
        <f>C3/B3</f>
        <v>750</v>
      </c>
      <c r="G3" t="s">
        <v>272</v>
      </c>
      <c r="H3" t="s">
        <v>273</v>
      </c>
    </row>
    <row r="4" spans="1:8">
      <c r="A4" t="s">
        <v>279</v>
      </c>
      <c r="B4">
        <v>217045</v>
      </c>
      <c r="C4">
        <v>40000000</v>
      </c>
      <c r="D4">
        <v>64</v>
      </c>
      <c r="E4">
        <f>C4/B4</f>
        <v>184.29357967241816</v>
      </c>
      <c r="G4" t="s">
        <v>280</v>
      </c>
    </row>
    <row r="5" spans="1:8">
      <c r="A5" t="s">
        <v>282</v>
      </c>
      <c r="B5">
        <v>52000</v>
      </c>
      <c r="D5">
        <v>36</v>
      </c>
    </row>
    <row r="7" spans="1:8">
      <c r="B7">
        <f>222.97</f>
        <v>222.97</v>
      </c>
      <c r="C7">
        <f>74.4*2000/2.2</f>
        <v>67636.363636363632</v>
      </c>
      <c r="D7">
        <v>1</v>
      </c>
      <c r="E7">
        <f>C7/B7</f>
        <v>303.34288754704056</v>
      </c>
      <c r="G7" t="s">
        <v>283</v>
      </c>
    </row>
    <row r="8" spans="1:8">
      <c r="G8" t="s">
        <v>284</v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3CF4E-982B-F64A-90C0-F8C4D2081E9D}">
  <dimension ref="A1:J48"/>
  <sheetViews>
    <sheetView topLeftCell="A15" workbookViewId="0">
      <selection activeCell="A37" sqref="A37"/>
    </sheetView>
  </sheetViews>
  <sheetFormatPr baseColWidth="10" defaultRowHeight="16"/>
  <cols>
    <col min="1" max="1" width="16.5" customWidth="1"/>
    <col min="3" max="3" width="28" customWidth="1"/>
    <col min="5" max="5" width="43.5" bestFit="1" customWidth="1"/>
    <col min="6" max="6" width="11.6640625" bestFit="1" customWidth="1"/>
  </cols>
  <sheetData>
    <row r="1" spans="1:10">
      <c r="A1" t="s">
        <v>118</v>
      </c>
      <c r="C1">
        <f>Vehicle!B1</f>
        <v>1000000</v>
      </c>
      <c r="J1" s="2"/>
    </row>
    <row r="2" spans="1:10" ht="18">
      <c r="A2" t="s">
        <v>675</v>
      </c>
      <c r="C2" s="2">
        <f>Vehicle!G1</f>
        <v>0</v>
      </c>
      <c r="D2" t="s">
        <v>4</v>
      </c>
      <c r="I2" s="93"/>
    </row>
    <row r="3" spans="1:10">
      <c r="A3" t="s">
        <v>675</v>
      </c>
      <c r="C3" s="3">
        <f>C2/365.25</f>
        <v>0</v>
      </c>
      <c r="D3" t="s">
        <v>5</v>
      </c>
      <c r="H3" s="2"/>
      <c r="I3" s="2"/>
    </row>
    <row r="4" spans="1:10">
      <c r="A4" t="s">
        <v>125</v>
      </c>
      <c r="C4" s="2">
        <f>C7*3600*24*365.26</f>
        <v>31558464</v>
      </c>
      <c r="D4" t="s">
        <v>4</v>
      </c>
    </row>
    <row r="5" spans="1:10">
      <c r="A5" t="s">
        <v>125</v>
      </c>
      <c r="C5" s="2">
        <f>Vehicle!G2</f>
        <v>0</v>
      </c>
      <c r="D5" t="s">
        <v>421</v>
      </c>
    </row>
    <row r="6" spans="1:10">
      <c r="A6" t="s">
        <v>125</v>
      </c>
      <c r="C6" s="3">
        <f>C5/365.26</f>
        <v>0</v>
      </c>
      <c r="D6" t="s">
        <v>5</v>
      </c>
    </row>
    <row r="7" spans="1:10">
      <c r="A7" t="s">
        <v>126</v>
      </c>
      <c r="C7" s="3">
        <v>1</v>
      </c>
      <c r="D7" t="s">
        <v>5</v>
      </c>
    </row>
    <row r="8" spans="1:10">
      <c r="A8" t="s">
        <v>148</v>
      </c>
      <c r="C8" s="2">
        <f>1*1000000</f>
        <v>1000000</v>
      </c>
      <c r="D8" t="s">
        <v>134</v>
      </c>
      <c r="E8" t="s">
        <v>692</v>
      </c>
      <c r="F8" s="3"/>
    </row>
    <row r="9" spans="1:10">
      <c r="C9" s="2">
        <f>C8*Conversion!C38</f>
        <v>86400000</v>
      </c>
      <c r="D9" t="s">
        <v>661</v>
      </c>
    </row>
    <row r="10" spans="1:10">
      <c r="C10" s="2"/>
    </row>
    <row r="11" spans="1:10">
      <c r="A11" t="s">
        <v>119</v>
      </c>
      <c r="C11" s="9">
        <f>1*18775</f>
        <v>18775</v>
      </c>
      <c r="D11" t="s">
        <v>132</v>
      </c>
      <c r="E11" t="s">
        <v>131</v>
      </c>
    </row>
    <row r="12" spans="1:10">
      <c r="A12" t="s">
        <v>120</v>
      </c>
      <c r="C12" s="2">
        <f>(C11*C1)/Conversion!B2</f>
        <v>51403148.528405204</v>
      </c>
      <c r="D12" t="s">
        <v>662</v>
      </c>
    </row>
    <row r="13" spans="1:10">
      <c r="C13" s="2">
        <f>C12*Conversion!B38</f>
        <v>594943.84870839352</v>
      </c>
      <c r="D13" t="s">
        <v>134</v>
      </c>
    </row>
    <row r="14" spans="1:10">
      <c r="C14" s="2"/>
      <c r="E14" t="s">
        <v>508</v>
      </c>
    </row>
    <row r="15" spans="1:10">
      <c r="A15" t="s">
        <v>178</v>
      </c>
      <c r="C15" s="48">
        <f>SUM(Crops!AF:AF)*Conversion!B33</f>
        <v>8125034.4162361752</v>
      </c>
      <c r="D15" t="s">
        <v>132</v>
      </c>
      <c r="E15" t="s">
        <v>506</v>
      </c>
    </row>
    <row r="16" spans="1:10">
      <c r="C16" s="48">
        <f>C15/Conversion!B2</f>
        <v>22245.131871967624</v>
      </c>
      <c r="D16" t="s">
        <v>663</v>
      </c>
      <c r="E16" t="s">
        <v>507</v>
      </c>
    </row>
    <row r="17" spans="1:7">
      <c r="C17" s="3">
        <f>C15*Conversion!B37</f>
        <v>257.46680407369934</v>
      </c>
      <c r="D17" t="s">
        <v>134</v>
      </c>
      <c r="E17" t="s">
        <v>652</v>
      </c>
    </row>
    <row r="18" spans="1:7">
      <c r="C18" s="3"/>
      <c r="E18" t="s">
        <v>508</v>
      </c>
    </row>
    <row r="19" spans="1:7">
      <c r="A19" t="s">
        <v>657</v>
      </c>
      <c r="E19" s="3" t="s">
        <v>651</v>
      </c>
    </row>
    <row r="20" spans="1:7">
      <c r="E20" s="3"/>
    </row>
    <row r="21" spans="1:7">
      <c r="C21" t="s">
        <v>673</v>
      </c>
      <c r="D21" t="s">
        <v>671</v>
      </c>
      <c r="E21" s="3" t="s">
        <v>672</v>
      </c>
    </row>
    <row r="22" spans="1:7">
      <c r="A22" t="s">
        <v>669</v>
      </c>
      <c r="C22">
        <v>120000</v>
      </c>
      <c r="D22" s="2">
        <v>1000</v>
      </c>
      <c r="E22" s="2">
        <v>100</v>
      </c>
      <c r="G22" t="s">
        <v>505</v>
      </c>
    </row>
    <row r="23" spans="1:7">
      <c r="A23" t="s">
        <v>670</v>
      </c>
      <c r="C23">
        <v>0.1</v>
      </c>
      <c r="D23" s="2">
        <v>100</v>
      </c>
      <c r="E23" s="2">
        <v>100</v>
      </c>
    </row>
    <row r="24" spans="1:7">
      <c r="A24" t="s">
        <v>653</v>
      </c>
      <c r="C24">
        <v>12</v>
      </c>
      <c r="D24" s="3">
        <v>12</v>
      </c>
      <c r="E24" s="3">
        <v>24</v>
      </c>
    </row>
    <row r="25" spans="1:7">
      <c r="A25" t="s">
        <v>121</v>
      </c>
      <c r="C25">
        <v>300</v>
      </c>
      <c r="D25">
        <v>266</v>
      </c>
      <c r="E25">
        <v>266</v>
      </c>
      <c r="G25" t="s">
        <v>509</v>
      </c>
    </row>
    <row r="26" spans="1:7">
      <c r="A26" t="s">
        <v>276</v>
      </c>
      <c r="C26" s="2">
        <f>Habitat!J16+Habitat!I18</f>
        <v>1726600385.0688522</v>
      </c>
      <c r="D26" s="2">
        <f>Habitat!I17+Habitat!I20</f>
        <v>1010000000</v>
      </c>
      <c r="E26" s="2">
        <f>Habitat!J22-C26-D26</f>
        <v>3071654652.7042961</v>
      </c>
    </row>
    <row r="27" spans="1:7">
      <c r="A27" t="s">
        <v>655</v>
      </c>
      <c r="C27" s="2">
        <f>C22/C25*C26</f>
        <v>690640154027.54089</v>
      </c>
      <c r="D27" s="2">
        <f>D22/D25*D26</f>
        <v>3796992481.2030077</v>
      </c>
      <c r="E27" s="2">
        <f>E22/E25*E26</f>
        <v>1154757388.2346978</v>
      </c>
      <c r="G27" t="s">
        <v>656</v>
      </c>
    </row>
    <row r="28" spans="1:7">
      <c r="A28" t="s">
        <v>133</v>
      </c>
      <c r="C28" s="2">
        <f>C22/C25*C26*C24*3.6+C23/C25*C26*(24-C24)*3.6</f>
        <v>29835679517035.312</v>
      </c>
      <c r="D28" s="2">
        <f>D22/D25*D26*D24*3.6+D23/D25*D26*(24-D24)*3.6</f>
        <v>180433082706.76694</v>
      </c>
      <c r="E28" s="2">
        <f>E22/E25*E26*E24*3.6+E23*E25*E26*(24-E24)*3.6</f>
        <v>99771038343.47789</v>
      </c>
      <c r="G28" t="s">
        <v>654</v>
      </c>
    </row>
    <row r="29" spans="1:7">
      <c r="C29" s="2"/>
    </row>
    <row r="30" spans="1:7">
      <c r="A30" t="s">
        <v>139</v>
      </c>
      <c r="C30" s="2">
        <v>0.04</v>
      </c>
      <c r="D30" t="s">
        <v>140</v>
      </c>
    </row>
    <row r="31" spans="1:7">
      <c r="A31" t="s">
        <v>144</v>
      </c>
      <c r="C31" s="2">
        <f>SUM(C27:E27)*C30</f>
        <v>27823676155.879147</v>
      </c>
      <c r="D31" s="36" t="s">
        <v>33</v>
      </c>
    </row>
    <row r="33" spans="1:8">
      <c r="C33" s="2"/>
      <c r="D33" s="36"/>
      <c r="F33" s="3">
        <f>SUM(C27:E27)/10000000</f>
        <v>69559.190389697862</v>
      </c>
      <c r="H33">
        <f>70/530*50</f>
        <v>6.6037735849056602</v>
      </c>
    </row>
    <row r="34" spans="1:8">
      <c r="A34" t="s">
        <v>658</v>
      </c>
      <c r="C34" s="2">
        <f>C13+C8+C17+SUM(C27:E27)</f>
        <v>695593499098.29419</v>
      </c>
      <c r="D34" s="36" t="s">
        <v>656</v>
      </c>
      <c r="E34" s="3">
        <f>C34/10000000</f>
        <v>69559.349909829412</v>
      </c>
    </row>
    <row r="35" spans="1:8">
      <c r="A35" t="s">
        <v>659</v>
      </c>
      <c r="C35" s="2">
        <f>C12+C9+C16+SUM(C28:E28)</f>
        <v>30116021463479.215</v>
      </c>
      <c r="D35" t="s">
        <v>177</v>
      </c>
      <c r="E35" s="3">
        <f>C35/10000000</f>
        <v>3011602.1463479213</v>
      </c>
      <c r="F35" t="s">
        <v>510</v>
      </c>
      <c r="G35" s="2"/>
    </row>
    <row r="36" spans="1:8">
      <c r="A36" t="s">
        <v>815</v>
      </c>
      <c r="C36" s="3">
        <f>C35*C40</f>
        <v>1521.4886022689029</v>
      </c>
      <c r="D36" t="s">
        <v>695</v>
      </c>
      <c r="E36" s="3"/>
      <c r="G36" s="2"/>
    </row>
    <row r="37" spans="1:8">
      <c r="A37" t="s">
        <v>638</v>
      </c>
      <c r="C37" s="2">
        <f>C35*Conversion!B2</f>
        <v>1.0999876839535784E+16</v>
      </c>
      <c r="D37" t="s">
        <v>177</v>
      </c>
      <c r="E37" s="3"/>
    </row>
    <row r="38" spans="1:8">
      <c r="C38" s="2"/>
      <c r="E38" s="2"/>
    </row>
    <row r="39" spans="1:8">
      <c r="A39" t="s">
        <v>512</v>
      </c>
      <c r="B39" t="s">
        <v>513</v>
      </c>
    </row>
    <row r="40" spans="1:8">
      <c r="A40" t="s">
        <v>138</v>
      </c>
      <c r="C40" s="44">
        <f>(100+3000)/7000000000/Conversion!C4</f>
        <v>5.0520903105145081E-11</v>
      </c>
      <c r="D40" t="s">
        <v>136</v>
      </c>
      <c r="E40" t="s">
        <v>129</v>
      </c>
      <c r="F40" t="s">
        <v>36</v>
      </c>
    </row>
    <row r="41" spans="1:8">
      <c r="A41" t="s">
        <v>141</v>
      </c>
      <c r="C41" s="44">
        <v>1E-3</v>
      </c>
      <c r="D41" t="s">
        <v>127</v>
      </c>
    </row>
    <row r="42" spans="1:8">
      <c r="A42" t="s">
        <v>124</v>
      </c>
      <c r="C42" s="2">
        <v>1.1000000000000001</v>
      </c>
    </row>
    <row r="43" spans="1:8">
      <c r="A43" t="s">
        <v>665</v>
      </c>
      <c r="C43" s="2">
        <f>C34*C41</f>
        <v>695593499.09829426</v>
      </c>
    </row>
    <row r="44" spans="1:8">
      <c r="A44" t="s">
        <v>142</v>
      </c>
      <c r="C44" s="2">
        <f>C37*C40*Conversion!C4</f>
        <v>4871374028.9372759</v>
      </c>
      <c r="D44" t="s">
        <v>33</v>
      </c>
    </row>
    <row r="45" spans="1:8">
      <c r="C45" s="35"/>
    </row>
    <row r="46" spans="1:8">
      <c r="A46" t="s">
        <v>143</v>
      </c>
      <c r="C46" s="12">
        <f>C7*(C44)</f>
        <v>4871374028.9372759</v>
      </c>
      <c r="D46" t="s">
        <v>33</v>
      </c>
      <c r="E46" t="s">
        <v>693</v>
      </c>
      <c r="F46" s="3"/>
    </row>
    <row r="47" spans="1:8">
      <c r="C47" s="3"/>
    </row>
    <row r="48" spans="1:8">
      <c r="C48" s="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Vehicle</vt:lpstr>
      <vt:lpstr>Performance</vt:lpstr>
      <vt:lpstr>Structure</vt:lpstr>
      <vt:lpstr>Habitat</vt:lpstr>
      <vt:lpstr>Design Studies</vt:lpstr>
      <vt:lpstr>Gravity</vt:lpstr>
      <vt:lpstr>Conversion</vt:lpstr>
      <vt:lpstr>Sheet2</vt:lpstr>
      <vt:lpstr>Power Consumption</vt:lpstr>
      <vt:lpstr>Vocations</vt:lpstr>
      <vt:lpstr>Billet</vt:lpstr>
      <vt:lpstr>Agriculture</vt:lpstr>
      <vt:lpstr>Crops</vt:lpstr>
      <vt:lpstr>Diet</vt:lpstr>
      <vt:lpstr>Aquaculture</vt:lpstr>
      <vt:lpstr>Cattle</vt:lpstr>
      <vt:lpstr>Protein</vt:lpstr>
      <vt:lpstr>Vocations!Criteria</vt:lpstr>
      <vt:lpstr>Vocations!Extract</vt:lpstr>
      <vt:lpstr>Vocations!Print_Area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Woods</dc:creator>
  <cp:lastModifiedBy>Sean Woods</cp:lastModifiedBy>
  <cp:lastPrinted>2019-03-30T21:01:46Z</cp:lastPrinted>
  <dcterms:created xsi:type="dcterms:W3CDTF">2019-01-31T03:30:08Z</dcterms:created>
  <dcterms:modified xsi:type="dcterms:W3CDTF">2021-04-15T20:31:33Z</dcterms:modified>
</cp:coreProperties>
</file>